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TS\Working\Planning\Transit\Transit - Route Analysis\2022\"/>
    </mc:Choice>
  </mc:AlternateContent>
  <xr:revisionPtr revIDLastSave="0" documentId="13_ncr:1_{CAEC210B-3575-465E-9CE2-DCDCA88F2D75}" xr6:coauthVersionLast="47" xr6:coauthVersionMax="47" xr10:uidLastSave="{00000000-0000-0000-0000-000000000000}"/>
  <bookViews>
    <workbookView xWindow="165" yWindow="0" windowWidth="24225" windowHeight="15600" firstSheet="7" activeTab="9" xr2:uid="{53FA297B-91B6-4D37-AA2E-01090386FE5B}"/>
  </bookViews>
  <sheets>
    <sheet name="Table 1 Commuter &amp; Express Bus" sheetId="4" r:id="rId1"/>
    <sheet name="Table 2 Core Local Bus" sheetId="6" r:id="rId2"/>
    <sheet name="Table 3 Supporting Local Bus" sheetId="7" r:id="rId3"/>
    <sheet name="Table 4 Suburban Local Bus" sheetId="8" r:id="rId4"/>
    <sheet name="Table 5 ABRT" sheetId="9" r:id="rId5"/>
    <sheet name="Table 6 Hwy BRT" sheetId="10" r:id="rId6"/>
    <sheet name="Table 7 LRT" sheetId="11" r:id="rId7"/>
    <sheet name="Table 8 Commuter Rail" sheetId="12" r:id="rId8"/>
    <sheet name="Table 9 General Public DAR" sheetId="13" r:id="rId9"/>
    <sheet name="Table 10 ADA DAR" sheetId="14" r:id="rId10"/>
    <sheet name="Table 11 Vanpool" sheetId="15" r:id="rId11"/>
    <sheet name="All Routes" sheetId="1" r:id="rId12"/>
  </sheets>
  <definedNames>
    <definedName name="_xlnm._FilterDatabase" localSheetId="11">'All Routes'!$A$1:$O$263</definedName>
    <definedName name="_xlnm._FilterDatabase" localSheetId="0" hidden="1">'Table 1 Commuter &amp; Express Bus'!$A$4:$M$65</definedName>
    <definedName name="_xlnm._FilterDatabase" localSheetId="3" hidden="1">'Table 4 Suburban Local Bus'!$A$4:$M$98</definedName>
    <definedName name="_xlnm._FilterDatabase" localSheetId="6" hidden="1">'Table 7 LRT'!$A$4:$M$10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D86" i="6"/>
  <c r="D69" i="4"/>
  <c r="L11" i="13"/>
  <c r="L12" i="13"/>
  <c r="G11" i="13"/>
  <c r="J11" i="13" s="1"/>
  <c r="G8" i="13"/>
  <c r="J8" i="13" s="1"/>
  <c r="G52" i="4" l="1"/>
  <c r="J52" i="4" s="1"/>
  <c r="L13" i="10" l="1"/>
  <c r="L10" i="10"/>
  <c r="G5" i="9"/>
  <c r="G14" i="14" l="1"/>
  <c r="D15" i="14"/>
  <c r="D14" i="14"/>
  <c r="D13" i="14"/>
  <c r="D19" i="13"/>
  <c r="D21" i="13"/>
  <c r="D20" i="13"/>
  <c r="D13" i="12"/>
  <c r="D12" i="12"/>
  <c r="D11" i="12"/>
  <c r="K13" i="12"/>
  <c r="K12" i="12"/>
  <c r="G13" i="12"/>
  <c r="H13" i="12" s="1"/>
  <c r="G12" i="12"/>
  <c r="J12" i="12" s="1"/>
  <c r="D16" i="11"/>
  <c r="D15" i="11"/>
  <c r="D14" i="11"/>
  <c r="D18" i="10"/>
  <c r="D17" i="10"/>
  <c r="D22" i="9"/>
  <c r="D21" i="9"/>
  <c r="D20" i="9"/>
  <c r="D104" i="8"/>
  <c r="D103" i="8"/>
  <c r="D102" i="8"/>
  <c r="D44" i="7"/>
  <c r="D43" i="7"/>
  <c r="D42" i="7"/>
  <c r="D71" i="4"/>
  <c r="D87" i="6"/>
  <c r="J240" i="1"/>
  <c r="K240" i="1" s="1"/>
  <c r="L240" i="1"/>
  <c r="M240" i="1"/>
  <c r="J241" i="1"/>
  <c r="K241" i="1" s="1"/>
  <c r="L241" i="1"/>
  <c r="M241" i="1"/>
  <c r="J242" i="1"/>
  <c r="K242" i="1" s="1"/>
  <c r="L242" i="1"/>
  <c r="M242" i="1"/>
  <c r="J243" i="1"/>
  <c r="K243" i="1" s="1"/>
  <c r="L243" i="1"/>
  <c r="M243" i="1"/>
  <c r="J244" i="1"/>
  <c r="K244" i="1" s="1"/>
  <c r="L244" i="1"/>
  <c r="M244" i="1"/>
  <c r="J245" i="1"/>
  <c r="K245" i="1" s="1"/>
  <c r="L245" i="1"/>
  <c r="M245" i="1"/>
  <c r="J246" i="1"/>
  <c r="K246" i="1" s="1"/>
  <c r="L246" i="1"/>
  <c r="M246" i="1"/>
  <c r="J247" i="1"/>
  <c r="K247" i="1" s="1"/>
  <c r="L247" i="1"/>
  <c r="M247" i="1"/>
  <c r="J248" i="1"/>
  <c r="K248" i="1" s="1"/>
  <c r="L248" i="1"/>
  <c r="M248" i="1"/>
  <c r="J249" i="1"/>
  <c r="K249" i="1" s="1"/>
  <c r="L249" i="1"/>
  <c r="M249" i="1"/>
  <c r="J250" i="1"/>
  <c r="K250" i="1" s="1"/>
  <c r="L250" i="1"/>
  <c r="M250" i="1"/>
  <c r="J251" i="1"/>
  <c r="K251" i="1" s="1"/>
  <c r="L251" i="1"/>
  <c r="M251" i="1"/>
  <c r="J252" i="1"/>
  <c r="K252" i="1" s="1"/>
  <c r="L252" i="1"/>
  <c r="M252" i="1"/>
  <c r="J253" i="1"/>
  <c r="K253" i="1" s="1"/>
  <c r="L253" i="1"/>
  <c r="M253" i="1"/>
  <c r="J254" i="1"/>
  <c r="K254" i="1" s="1"/>
  <c r="L254" i="1"/>
  <c r="M254" i="1"/>
  <c r="J255" i="1"/>
  <c r="K255" i="1" s="1"/>
  <c r="L255" i="1"/>
  <c r="M255" i="1"/>
  <c r="J256" i="1"/>
  <c r="K256" i="1" s="1"/>
  <c r="L256" i="1"/>
  <c r="M256" i="1"/>
  <c r="J257" i="1"/>
  <c r="K257" i="1" s="1"/>
  <c r="L257" i="1"/>
  <c r="M257" i="1"/>
  <c r="J258" i="1"/>
  <c r="K258" i="1" s="1"/>
  <c r="L258" i="1"/>
  <c r="M258" i="1"/>
  <c r="J259" i="1"/>
  <c r="K259" i="1" s="1"/>
  <c r="L259" i="1"/>
  <c r="M259" i="1"/>
  <c r="J260" i="1"/>
  <c r="K260" i="1" s="1"/>
  <c r="L260" i="1"/>
  <c r="M260" i="1"/>
  <c r="J261" i="1"/>
  <c r="K261" i="1" s="1"/>
  <c r="L261" i="1"/>
  <c r="M261" i="1"/>
  <c r="J262" i="1"/>
  <c r="K262" i="1" s="1"/>
  <c r="L262" i="1"/>
  <c r="M262" i="1"/>
  <c r="J263" i="1"/>
  <c r="K263" i="1" s="1"/>
  <c r="L263" i="1"/>
  <c r="M263" i="1"/>
  <c r="J264" i="1"/>
  <c r="K264" i="1" s="1"/>
  <c r="L264" i="1"/>
  <c r="M264" i="1"/>
  <c r="J265" i="1"/>
  <c r="K265" i="1" s="1"/>
  <c r="L265" i="1"/>
  <c r="M265" i="1"/>
  <c r="J266" i="1"/>
  <c r="K266" i="1" s="1"/>
  <c r="L266" i="1"/>
  <c r="M266" i="1"/>
  <c r="J267" i="1"/>
  <c r="K267" i="1" s="1"/>
  <c r="L267" i="1"/>
  <c r="M267" i="1"/>
  <c r="J268" i="1"/>
  <c r="K268" i="1" s="1"/>
  <c r="L268" i="1"/>
  <c r="M268" i="1"/>
  <c r="J269" i="1"/>
  <c r="K269" i="1" s="1"/>
  <c r="L269" i="1"/>
  <c r="M269" i="1"/>
  <c r="J270" i="1"/>
  <c r="K270" i="1" s="1"/>
  <c r="L270" i="1"/>
  <c r="M270" i="1"/>
  <c r="J271" i="1"/>
  <c r="K271" i="1" s="1"/>
  <c r="L271" i="1"/>
  <c r="M271" i="1"/>
  <c r="J272" i="1"/>
  <c r="K272" i="1" s="1"/>
  <c r="L272" i="1"/>
  <c r="M272" i="1"/>
  <c r="J273" i="1"/>
  <c r="K273" i="1" s="1"/>
  <c r="L273" i="1"/>
  <c r="M273" i="1"/>
  <c r="J274" i="1"/>
  <c r="K274" i="1" s="1"/>
  <c r="L274" i="1"/>
  <c r="M274" i="1"/>
  <c r="J275" i="1"/>
  <c r="K275" i="1" s="1"/>
  <c r="L275" i="1"/>
  <c r="M275" i="1"/>
  <c r="J276" i="1"/>
  <c r="K276" i="1" s="1"/>
  <c r="L276" i="1"/>
  <c r="M276" i="1"/>
  <c r="J277" i="1"/>
  <c r="K277" i="1" s="1"/>
  <c r="L277" i="1"/>
  <c r="M277" i="1"/>
  <c r="J278" i="1"/>
  <c r="K278" i="1" s="1"/>
  <c r="L278" i="1"/>
  <c r="M278" i="1"/>
  <c r="J279" i="1"/>
  <c r="K279" i="1" s="1"/>
  <c r="L279" i="1"/>
  <c r="M279" i="1"/>
  <c r="J280" i="1"/>
  <c r="K280" i="1" s="1"/>
  <c r="L280" i="1"/>
  <c r="M280" i="1"/>
  <c r="J281" i="1"/>
  <c r="K281" i="1" s="1"/>
  <c r="L281" i="1"/>
  <c r="M281" i="1"/>
  <c r="J282" i="1"/>
  <c r="K282" i="1" s="1"/>
  <c r="L282" i="1"/>
  <c r="M282" i="1"/>
  <c r="J283" i="1"/>
  <c r="K283" i="1" s="1"/>
  <c r="L283" i="1"/>
  <c r="M283" i="1"/>
  <c r="J284" i="1"/>
  <c r="K284" i="1" s="1"/>
  <c r="L284" i="1"/>
  <c r="M284" i="1"/>
  <c r="J285" i="1"/>
  <c r="K285" i="1" s="1"/>
  <c r="L285" i="1"/>
  <c r="M285" i="1"/>
  <c r="J286" i="1"/>
  <c r="K286" i="1" s="1"/>
  <c r="L286" i="1"/>
  <c r="M286" i="1"/>
  <c r="J287" i="1"/>
  <c r="K287" i="1" s="1"/>
  <c r="L287" i="1"/>
  <c r="M287" i="1"/>
  <c r="J288" i="1"/>
  <c r="K288" i="1" s="1"/>
  <c r="L288" i="1"/>
  <c r="M288" i="1"/>
  <c r="J289" i="1"/>
  <c r="K289" i="1" s="1"/>
  <c r="M289" i="1"/>
  <c r="J290" i="1"/>
  <c r="K290" i="1" s="1"/>
  <c r="L290" i="1"/>
  <c r="M290" i="1"/>
  <c r="L289" i="1"/>
  <c r="G7" i="13"/>
  <c r="J7" i="13" s="1"/>
  <c r="G5" i="13"/>
  <c r="G10" i="13"/>
  <c r="J10" i="13" s="1"/>
  <c r="G9" i="13"/>
  <c r="G13" i="13"/>
  <c r="J13" i="13" s="1"/>
  <c r="G12" i="13"/>
  <c r="J21" i="13" s="1"/>
  <c r="G14" i="13"/>
  <c r="G15" i="13"/>
  <c r="J15" i="13" s="1"/>
  <c r="G6" i="13"/>
  <c r="L5" i="11"/>
  <c r="D70" i="4"/>
  <c r="G6" i="14"/>
  <c r="J6" i="14" s="1"/>
  <c r="G7" i="14"/>
  <c r="K15" i="14" s="1"/>
  <c r="L6" i="14"/>
  <c r="L7" i="14"/>
  <c r="L7" i="13"/>
  <c r="L13" i="13"/>
  <c r="L15" i="13"/>
  <c r="L10" i="13"/>
  <c r="L7" i="9"/>
  <c r="L10" i="9"/>
  <c r="L13" i="9"/>
  <c r="G7" i="9"/>
  <c r="J7" i="9" s="1"/>
  <c r="G10" i="9"/>
  <c r="J10" i="9" s="1"/>
  <c r="G13" i="9"/>
  <c r="J13" i="9" s="1"/>
  <c r="L98" i="8"/>
  <c r="L43" i="8"/>
  <c r="L74" i="8"/>
  <c r="L44" i="8"/>
  <c r="L18" i="8"/>
  <c r="G98" i="8"/>
  <c r="J98" i="8" s="1"/>
  <c r="G43" i="8"/>
  <c r="J43" i="8" s="1"/>
  <c r="G74" i="8"/>
  <c r="J74" i="8" s="1"/>
  <c r="G44" i="8"/>
  <c r="J44" i="8" s="1"/>
  <c r="G18" i="8"/>
  <c r="J18" i="8" s="1"/>
  <c r="J7" i="14" l="1"/>
  <c r="G15" i="14" s="1"/>
  <c r="K14" i="14"/>
  <c r="J20" i="13"/>
  <c r="J19" i="13"/>
  <c r="J22" i="13"/>
  <c r="J14" i="14"/>
  <c r="H15" i="14"/>
  <c r="I15" i="14"/>
  <c r="J15" i="14"/>
  <c r="I14" i="14"/>
  <c r="H14" i="14"/>
  <c r="I13" i="12"/>
  <c r="J13" i="12"/>
  <c r="H12" i="12"/>
  <c r="I12" i="12"/>
  <c r="L5" i="15"/>
  <c r="G5" i="15"/>
  <c r="J5" i="15" s="1"/>
  <c r="L5" i="14"/>
  <c r="G5" i="14"/>
  <c r="J9" i="13"/>
  <c r="F20" i="13" s="1"/>
  <c r="L14" i="13"/>
  <c r="J14" i="13"/>
  <c r="L9" i="13"/>
  <c r="L6" i="13"/>
  <c r="J6" i="13"/>
  <c r="L5" i="13"/>
  <c r="J5" i="13"/>
  <c r="F19" i="13" s="1"/>
  <c r="J12" i="13"/>
  <c r="F21" i="13" s="1"/>
  <c r="G21" i="13" s="1"/>
  <c r="L5" i="12"/>
  <c r="G5" i="12"/>
  <c r="L10" i="11"/>
  <c r="G10" i="11"/>
  <c r="J10" i="11" s="1"/>
  <c r="L8" i="11"/>
  <c r="G8" i="11"/>
  <c r="J8" i="11" s="1"/>
  <c r="L6" i="11"/>
  <c r="G6" i="11"/>
  <c r="J6" i="11" s="1"/>
  <c r="L9" i="11"/>
  <c r="G9" i="11"/>
  <c r="L7" i="11"/>
  <c r="G7" i="11"/>
  <c r="G5" i="11"/>
  <c r="L11" i="10"/>
  <c r="L6" i="10"/>
  <c r="L9" i="10"/>
  <c r="L12" i="10"/>
  <c r="L7" i="10"/>
  <c r="G7" i="10"/>
  <c r="J7" i="10" s="1"/>
  <c r="G10" i="10"/>
  <c r="J10" i="10" s="1"/>
  <c r="G13" i="10"/>
  <c r="J13" i="10" s="1"/>
  <c r="G12" i="10"/>
  <c r="J12" i="10" s="1"/>
  <c r="G9" i="10"/>
  <c r="J9" i="10" s="1"/>
  <c r="G6" i="10"/>
  <c r="J6" i="10" s="1"/>
  <c r="G11" i="10"/>
  <c r="G8" i="10"/>
  <c r="G5" i="10"/>
  <c r="L8" i="10"/>
  <c r="L5" i="10"/>
  <c r="L12" i="9"/>
  <c r="G12" i="9"/>
  <c r="J12" i="9" s="1"/>
  <c r="L9" i="9"/>
  <c r="G9" i="9"/>
  <c r="J9" i="9" s="1"/>
  <c r="L6" i="9"/>
  <c r="G6" i="9"/>
  <c r="J6" i="9" s="1"/>
  <c r="L11" i="9"/>
  <c r="G11" i="9"/>
  <c r="L8" i="9"/>
  <c r="G8" i="9"/>
  <c r="L5" i="9"/>
  <c r="L73" i="8"/>
  <c r="G73" i="8"/>
  <c r="J73" i="8" s="1"/>
  <c r="L42" i="8"/>
  <c r="G42" i="8"/>
  <c r="J42" i="8" s="1"/>
  <c r="L41" i="8"/>
  <c r="G41" i="8"/>
  <c r="J41" i="8" s="1"/>
  <c r="L97" i="8"/>
  <c r="G97" i="8"/>
  <c r="J97" i="8" s="1"/>
  <c r="L72" i="8"/>
  <c r="G72" i="8"/>
  <c r="J72" i="8" s="1"/>
  <c r="L40" i="8"/>
  <c r="G40" i="8"/>
  <c r="J40" i="8" s="1"/>
  <c r="L96" i="8"/>
  <c r="G96" i="8"/>
  <c r="J96" i="8" s="1"/>
  <c r="L71" i="8"/>
  <c r="G71" i="8"/>
  <c r="J71" i="8" s="1"/>
  <c r="L39" i="8"/>
  <c r="G39" i="8"/>
  <c r="J39" i="8" s="1"/>
  <c r="L95" i="8"/>
  <c r="G95" i="8"/>
  <c r="J95" i="8" s="1"/>
  <c r="L70" i="8"/>
  <c r="G70" i="8"/>
  <c r="J70" i="8" s="1"/>
  <c r="L38" i="8"/>
  <c r="G38" i="8"/>
  <c r="J38" i="8" s="1"/>
  <c r="L94" i="8"/>
  <c r="G94" i="8"/>
  <c r="J94" i="8" s="1"/>
  <c r="L69" i="8"/>
  <c r="G69" i="8"/>
  <c r="J69" i="8" s="1"/>
  <c r="L37" i="8"/>
  <c r="G37" i="8"/>
  <c r="J37" i="8" s="1"/>
  <c r="L36" i="8"/>
  <c r="G36" i="8"/>
  <c r="J36" i="8" s="1"/>
  <c r="L68" i="8"/>
  <c r="G68" i="8"/>
  <c r="J68" i="8" s="1"/>
  <c r="L35" i="8"/>
  <c r="G35" i="8"/>
  <c r="J35" i="8" s="1"/>
  <c r="L34" i="8"/>
  <c r="G34" i="8"/>
  <c r="J34" i="8" s="1"/>
  <c r="L93" i="8"/>
  <c r="G93" i="8"/>
  <c r="J93" i="8" s="1"/>
  <c r="L67" i="8"/>
  <c r="G67" i="8"/>
  <c r="J67" i="8" s="1"/>
  <c r="L33" i="8"/>
  <c r="G33" i="8"/>
  <c r="J33" i="8" s="1"/>
  <c r="L66" i="8"/>
  <c r="G66" i="8"/>
  <c r="J66" i="8" s="1"/>
  <c r="L32" i="8"/>
  <c r="G32" i="8"/>
  <c r="J32" i="8" s="1"/>
  <c r="L92" i="8"/>
  <c r="G92" i="8"/>
  <c r="J92" i="8" s="1"/>
  <c r="L65" i="8"/>
  <c r="G65" i="8"/>
  <c r="J65" i="8" s="1"/>
  <c r="L31" i="8"/>
  <c r="G31" i="8"/>
  <c r="J31" i="8" s="1"/>
  <c r="L30" i="8"/>
  <c r="G30" i="8"/>
  <c r="J30" i="8" s="1"/>
  <c r="L91" i="8"/>
  <c r="G91" i="8"/>
  <c r="J91" i="8" s="1"/>
  <c r="L64" i="8"/>
  <c r="G64" i="8"/>
  <c r="J64" i="8" s="1"/>
  <c r="L29" i="8"/>
  <c r="G29" i="8"/>
  <c r="J29" i="8" s="1"/>
  <c r="L28" i="8"/>
  <c r="G28" i="8"/>
  <c r="J28" i="8" s="1"/>
  <c r="L90" i="8"/>
  <c r="G90" i="8"/>
  <c r="J90" i="8" s="1"/>
  <c r="L63" i="8"/>
  <c r="G63" i="8"/>
  <c r="J63" i="8" s="1"/>
  <c r="L27" i="8"/>
  <c r="G27" i="8"/>
  <c r="J27" i="8" s="1"/>
  <c r="L89" i="8"/>
  <c r="G89" i="8"/>
  <c r="J89" i="8" s="1"/>
  <c r="L62" i="8"/>
  <c r="G62" i="8"/>
  <c r="J62" i="8" s="1"/>
  <c r="L26" i="8"/>
  <c r="G26" i="8"/>
  <c r="J26" i="8" s="1"/>
  <c r="L88" i="8"/>
  <c r="G88" i="8"/>
  <c r="J88" i="8" s="1"/>
  <c r="L61" i="8"/>
  <c r="G61" i="8"/>
  <c r="J61" i="8" s="1"/>
  <c r="L25" i="8"/>
  <c r="G25" i="8"/>
  <c r="J25" i="8" s="1"/>
  <c r="L24" i="8"/>
  <c r="G24" i="8"/>
  <c r="J24" i="8" s="1"/>
  <c r="L87" i="8"/>
  <c r="G87" i="8"/>
  <c r="J87" i="8" s="1"/>
  <c r="L60" i="8"/>
  <c r="G60" i="8"/>
  <c r="J60" i="8" s="1"/>
  <c r="L23" i="8"/>
  <c r="G23" i="8"/>
  <c r="J23" i="8" s="1"/>
  <c r="L86" i="8"/>
  <c r="G86" i="8"/>
  <c r="J86" i="8" s="1"/>
  <c r="L59" i="8"/>
  <c r="G59" i="8"/>
  <c r="J59" i="8" s="1"/>
  <c r="L22" i="8"/>
  <c r="G22" i="8"/>
  <c r="J22" i="8" s="1"/>
  <c r="L21" i="8"/>
  <c r="G21" i="8"/>
  <c r="J21" i="8" s="1"/>
  <c r="L85" i="8"/>
  <c r="G85" i="8"/>
  <c r="J85" i="8" s="1"/>
  <c r="L58" i="8"/>
  <c r="G58" i="8"/>
  <c r="J58" i="8" s="1"/>
  <c r="L20" i="8"/>
  <c r="G20" i="8"/>
  <c r="J20" i="8" s="1"/>
  <c r="L84" i="8"/>
  <c r="G84" i="8"/>
  <c r="J84" i="8" s="1"/>
  <c r="L57" i="8"/>
  <c r="G57" i="8"/>
  <c r="J57" i="8" s="1"/>
  <c r="L19" i="8"/>
  <c r="G19" i="8"/>
  <c r="J19" i="8" s="1"/>
  <c r="L83" i="8"/>
  <c r="G83" i="8"/>
  <c r="J83" i="8" s="1"/>
  <c r="L56" i="8"/>
  <c r="G56" i="8"/>
  <c r="J56" i="8" s="1"/>
  <c r="L17" i="8"/>
  <c r="G17" i="8"/>
  <c r="J17" i="8" s="1"/>
  <c r="L82" i="8"/>
  <c r="G82" i="8"/>
  <c r="J82" i="8" s="1"/>
  <c r="L55" i="8"/>
  <c r="G55" i="8"/>
  <c r="J55" i="8" s="1"/>
  <c r="L16" i="8"/>
  <c r="G16" i="8"/>
  <c r="J16" i="8" s="1"/>
  <c r="L81" i="8"/>
  <c r="G81" i="8"/>
  <c r="J81" i="8" s="1"/>
  <c r="L54" i="8"/>
  <c r="G54" i="8"/>
  <c r="J54" i="8" s="1"/>
  <c r="L15" i="8"/>
  <c r="G15" i="8"/>
  <c r="J15" i="8" s="1"/>
  <c r="L80" i="8"/>
  <c r="G80" i="8"/>
  <c r="J80" i="8" s="1"/>
  <c r="L53" i="8"/>
  <c r="G53" i="8"/>
  <c r="J53" i="8" s="1"/>
  <c r="L14" i="8"/>
  <c r="G14" i="8"/>
  <c r="J14" i="8" s="1"/>
  <c r="L79" i="8"/>
  <c r="G79" i="8"/>
  <c r="J79" i="8" s="1"/>
  <c r="L52" i="8"/>
  <c r="G52" i="8"/>
  <c r="J52" i="8" s="1"/>
  <c r="L13" i="8"/>
  <c r="G13" i="8"/>
  <c r="J13" i="8" s="1"/>
  <c r="L78" i="8"/>
  <c r="G78" i="8"/>
  <c r="J78" i="8" s="1"/>
  <c r="L51" i="8"/>
  <c r="G51" i="8"/>
  <c r="J51" i="8" s="1"/>
  <c r="L12" i="8"/>
  <c r="G12" i="8"/>
  <c r="J12" i="8" s="1"/>
  <c r="L11" i="8"/>
  <c r="G11" i="8"/>
  <c r="J11" i="8" s="1"/>
  <c r="L10" i="8"/>
  <c r="G10" i="8"/>
  <c r="J10" i="8" s="1"/>
  <c r="L77" i="8"/>
  <c r="G77" i="8"/>
  <c r="J77" i="8" s="1"/>
  <c r="L50" i="8"/>
  <c r="G50" i="8"/>
  <c r="J50" i="8" s="1"/>
  <c r="L9" i="8"/>
  <c r="G9" i="8"/>
  <c r="J9" i="8" s="1"/>
  <c r="L76" i="8"/>
  <c r="G76" i="8"/>
  <c r="J76" i="8" s="1"/>
  <c r="L49" i="8"/>
  <c r="G49" i="8"/>
  <c r="J49" i="8" s="1"/>
  <c r="L75" i="8"/>
  <c r="G75" i="8"/>
  <c r="L48" i="8"/>
  <c r="G48" i="8"/>
  <c r="J48" i="8" s="1"/>
  <c r="L8" i="8"/>
  <c r="G8" i="8"/>
  <c r="J8" i="8" s="1"/>
  <c r="L47" i="8"/>
  <c r="G47" i="8"/>
  <c r="J47" i="8" s="1"/>
  <c r="L7" i="8"/>
  <c r="G7" i="8"/>
  <c r="J7" i="8" s="1"/>
  <c r="L46" i="8"/>
  <c r="G46" i="8"/>
  <c r="J46" i="8" s="1"/>
  <c r="L6" i="8"/>
  <c r="G6" i="8"/>
  <c r="J6" i="8" s="1"/>
  <c r="L45" i="8"/>
  <c r="G45" i="8"/>
  <c r="L5" i="8"/>
  <c r="G5" i="8"/>
  <c r="L17" i="4"/>
  <c r="L18" i="4"/>
  <c r="L20" i="4"/>
  <c r="L21" i="4"/>
  <c r="L22" i="4"/>
  <c r="L23" i="4"/>
  <c r="L24" i="4"/>
  <c r="L25" i="4"/>
  <c r="L26" i="4"/>
  <c r="L27" i="4"/>
  <c r="L28" i="4"/>
  <c r="L29" i="4"/>
  <c r="L30" i="4"/>
  <c r="G17" i="4"/>
  <c r="J17" i="4" s="1"/>
  <c r="G18" i="4"/>
  <c r="J18" i="4" s="1"/>
  <c r="G20" i="4"/>
  <c r="J20" i="4" s="1"/>
  <c r="G21" i="4"/>
  <c r="J21" i="4" s="1"/>
  <c r="G22" i="4"/>
  <c r="J22" i="4" s="1"/>
  <c r="G23" i="4"/>
  <c r="J23" i="4" s="1"/>
  <c r="G24" i="4"/>
  <c r="J24" i="4" s="1"/>
  <c r="G25" i="4"/>
  <c r="J25" i="4" s="1"/>
  <c r="G26" i="4"/>
  <c r="J26" i="4" s="1"/>
  <c r="G27" i="4"/>
  <c r="J27" i="4" s="1"/>
  <c r="G28" i="4"/>
  <c r="J28" i="4" s="1"/>
  <c r="G29" i="4"/>
  <c r="J29" i="4" s="1"/>
  <c r="G30" i="4"/>
  <c r="J30" i="4" s="1"/>
  <c r="L35" i="7"/>
  <c r="G35" i="7"/>
  <c r="J35" i="7" s="1"/>
  <c r="L26" i="7"/>
  <c r="G26" i="7"/>
  <c r="J26" i="7" s="1"/>
  <c r="L16" i="7"/>
  <c r="G16" i="7"/>
  <c r="J16" i="7" s="1"/>
  <c r="L34" i="7"/>
  <c r="G34" i="7"/>
  <c r="J34" i="7" s="1"/>
  <c r="L25" i="7"/>
  <c r="G25" i="7"/>
  <c r="J25" i="7" s="1"/>
  <c r="L15" i="7"/>
  <c r="G15" i="7"/>
  <c r="J15" i="7" s="1"/>
  <c r="L33" i="7"/>
  <c r="G33" i="7"/>
  <c r="J33" i="7" s="1"/>
  <c r="L24" i="7"/>
  <c r="G24" i="7"/>
  <c r="J24" i="7" s="1"/>
  <c r="L14" i="7"/>
  <c r="G14" i="7"/>
  <c r="J14" i="7" s="1"/>
  <c r="L32" i="7"/>
  <c r="G32" i="7"/>
  <c r="J32" i="7" s="1"/>
  <c r="L31" i="7"/>
  <c r="G31" i="7"/>
  <c r="J31" i="7" s="1"/>
  <c r="L23" i="7"/>
  <c r="G23" i="7"/>
  <c r="J23" i="7" s="1"/>
  <c r="L22" i="7"/>
  <c r="G22" i="7"/>
  <c r="J22" i="7" s="1"/>
  <c r="L13" i="7"/>
  <c r="G13" i="7"/>
  <c r="J13" i="7" s="1"/>
  <c r="L12" i="7"/>
  <c r="G12" i="7"/>
  <c r="J12" i="7" s="1"/>
  <c r="L11" i="7"/>
  <c r="G11" i="7"/>
  <c r="J11" i="7" s="1"/>
  <c r="L21" i="7"/>
  <c r="G21" i="7"/>
  <c r="J21" i="7" s="1"/>
  <c r="L10" i="7"/>
  <c r="G10" i="7"/>
  <c r="J10" i="7" s="1"/>
  <c r="L30" i="7"/>
  <c r="G30" i="7"/>
  <c r="J30" i="7" s="1"/>
  <c r="L20" i="7"/>
  <c r="G20" i="7"/>
  <c r="J20" i="7" s="1"/>
  <c r="L9" i="7"/>
  <c r="G9" i="7"/>
  <c r="J9" i="7" s="1"/>
  <c r="L29" i="7"/>
  <c r="G29" i="7"/>
  <c r="J29" i="7" s="1"/>
  <c r="L19" i="7"/>
  <c r="G19" i="7"/>
  <c r="J19" i="7" s="1"/>
  <c r="L8" i="7"/>
  <c r="G8" i="7"/>
  <c r="J8" i="7" s="1"/>
  <c r="L7" i="7"/>
  <c r="G7" i="7"/>
  <c r="J7" i="7" s="1"/>
  <c r="L28" i="7"/>
  <c r="G28" i="7"/>
  <c r="J28" i="7" s="1"/>
  <c r="L18" i="7"/>
  <c r="G18" i="7"/>
  <c r="J18" i="7" s="1"/>
  <c r="L6" i="7"/>
  <c r="G6" i="7"/>
  <c r="J6" i="7" s="1"/>
  <c r="L27" i="7"/>
  <c r="G27" i="7"/>
  <c r="L17" i="7"/>
  <c r="G17" i="7"/>
  <c r="L5" i="7"/>
  <c r="G5" i="7"/>
  <c r="D88" i="6"/>
  <c r="L32" i="6"/>
  <c r="G32" i="6"/>
  <c r="J32" i="6" s="1"/>
  <c r="L31" i="6"/>
  <c r="G31" i="6"/>
  <c r="J31" i="6" s="1"/>
  <c r="L81" i="6"/>
  <c r="G81" i="6"/>
  <c r="J81" i="6" s="1"/>
  <c r="L58" i="6"/>
  <c r="G58" i="6"/>
  <c r="J58" i="6" s="1"/>
  <c r="L30" i="6"/>
  <c r="G30" i="6"/>
  <c r="J30" i="6" s="1"/>
  <c r="L80" i="6"/>
  <c r="G80" i="6"/>
  <c r="J80" i="6" s="1"/>
  <c r="L57" i="6"/>
  <c r="G57" i="6"/>
  <c r="J57" i="6" s="1"/>
  <c r="L29" i="6"/>
  <c r="G29" i="6"/>
  <c r="J29" i="6" s="1"/>
  <c r="L79" i="6"/>
  <c r="G79" i="6"/>
  <c r="J79" i="6" s="1"/>
  <c r="L78" i="6"/>
  <c r="G78" i="6"/>
  <c r="J78" i="6" s="1"/>
  <c r="L56" i="6"/>
  <c r="G56" i="6"/>
  <c r="J56" i="6" s="1"/>
  <c r="L55" i="6"/>
  <c r="G55" i="6"/>
  <c r="J55" i="6" s="1"/>
  <c r="L28" i="6"/>
  <c r="G28" i="6"/>
  <c r="J28" i="6" s="1"/>
  <c r="L27" i="6"/>
  <c r="G27" i="6"/>
  <c r="J27" i="6" s="1"/>
  <c r="L77" i="6"/>
  <c r="G77" i="6"/>
  <c r="J77" i="6" s="1"/>
  <c r="L54" i="6"/>
  <c r="G54" i="6"/>
  <c r="J54" i="6" s="1"/>
  <c r="L26" i="6"/>
  <c r="G26" i="6"/>
  <c r="J26" i="6" s="1"/>
  <c r="L82" i="6"/>
  <c r="G82" i="6"/>
  <c r="J82" i="6" s="1"/>
  <c r="L53" i="6"/>
  <c r="G53" i="6"/>
  <c r="J53" i="6" s="1"/>
  <c r="L25" i="6"/>
  <c r="G25" i="6"/>
  <c r="J25" i="6" s="1"/>
  <c r="L76" i="6"/>
  <c r="G76" i="6"/>
  <c r="J76" i="6" s="1"/>
  <c r="L52" i="6"/>
  <c r="G52" i="6"/>
  <c r="J52" i="6" s="1"/>
  <c r="L24" i="6"/>
  <c r="G24" i="6"/>
  <c r="J24" i="6" s="1"/>
  <c r="L75" i="6"/>
  <c r="G75" i="6"/>
  <c r="J75" i="6" s="1"/>
  <c r="L51" i="6"/>
  <c r="G51" i="6"/>
  <c r="J51" i="6" s="1"/>
  <c r="L23" i="6"/>
  <c r="G23" i="6"/>
  <c r="J23" i="6" s="1"/>
  <c r="L74" i="6"/>
  <c r="G74" i="6"/>
  <c r="J74" i="6" s="1"/>
  <c r="L50" i="6"/>
  <c r="G50" i="6"/>
  <c r="J50" i="6" s="1"/>
  <c r="L22" i="6"/>
  <c r="G22" i="6"/>
  <c r="J22" i="6" s="1"/>
  <c r="L49" i="6"/>
  <c r="G49" i="6"/>
  <c r="J49" i="6" s="1"/>
  <c r="L21" i="6"/>
  <c r="G21" i="6"/>
  <c r="J21" i="6" s="1"/>
  <c r="L73" i="6"/>
  <c r="G73" i="6"/>
  <c r="J73" i="6" s="1"/>
  <c r="L48" i="6"/>
  <c r="G48" i="6"/>
  <c r="J48" i="6" s="1"/>
  <c r="L20" i="6"/>
  <c r="G20" i="6"/>
  <c r="J20" i="6" s="1"/>
  <c r="L47" i="6"/>
  <c r="G47" i="6"/>
  <c r="J47" i="6" s="1"/>
  <c r="L19" i="6"/>
  <c r="G19" i="6"/>
  <c r="J19" i="6" s="1"/>
  <c r="L72" i="6"/>
  <c r="G72" i="6"/>
  <c r="J72" i="6" s="1"/>
  <c r="L46" i="6"/>
  <c r="G46" i="6"/>
  <c r="J46" i="6" s="1"/>
  <c r="L18" i="6"/>
  <c r="G18" i="6"/>
  <c r="J18" i="6" s="1"/>
  <c r="L71" i="6"/>
  <c r="G71" i="6"/>
  <c r="J71" i="6" s="1"/>
  <c r="L45" i="6"/>
  <c r="G45" i="6"/>
  <c r="J45" i="6" s="1"/>
  <c r="L17" i="6"/>
  <c r="G17" i="6"/>
  <c r="J17" i="6" s="1"/>
  <c r="L70" i="6"/>
  <c r="G70" i="6"/>
  <c r="J70" i="6" s="1"/>
  <c r="L44" i="6"/>
  <c r="G44" i="6"/>
  <c r="J44" i="6" s="1"/>
  <c r="L16" i="6"/>
  <c r="G16" i="6"/>
  <c r="J16" i="6" s="1"/>
  <c r="L69" i="6"/>
  <c r="G69" i="6"/>
  <c r="J69" i="6" s="1"/>
  <c r="L43" i="6"/>
  <c r="G43" i="6"/>
  <c r="J43" i="6" s="1"/>
  <c r="L15" i="6"/>
  <c r="G15" i="6"/>
  <c r="J15" i="6" s="1"/>
  <c r="L68" i="6"/>
  <c r="G68" i="6"/>
  <c r="J68" i="6" s="1"/>
  <c r="L42" i="6"/>
  <c r="G42" i="6"/>
  <c r="J42" i="6" s="1"/>
  <c r="L14" i="6"/>
  <c r="G14" i="6"/>
  <c r="J14" i="6" s="1"/>
  <c r="L67" i="6"/>
  <c r="G67" i="6"/>
  <c r="J67" i="6" s="1"/>
  <c r="L41" i="6"/>
  <c r="G41" i="6"/>
  <c r="J41" i="6" s="1"/>
  <c r="L13" i="6"/>
  <c r="G13" i="6"/>
  <c r="J13" i="6" s="1"/>
  <c r="L66" i="6"/>
  <c r="G66" i="6"/>
  <c r="J66" i="6" s="1"/>
  <c r="L40" i="6"/>
  <c r="G40" i="6"/>
  <c r="J40" i="6" s="1"/>
  <c r="L12" i="6"/>
  <c r="G12" i="6"/>
  <c r="J12" i="6" s="1"/>
  <c r="L65" i="6"/>
  <c r="G65" i="6"/>
  <c r="J65" i="6" s="1"/>
  <c r="L39" i="6"/>
  <c r="G39" i="6"/>
  <c r="J39" i="6" s="1"/>
  <c r="L11" i="6"/>
  <c r="G11" i="6"/>
  <c r="J11" i="6" s="1"/>
  <c r="L64" i="6"/>
  <c r="G64" i="6"/>
  <c r="J64" i="6" s="1"/>
  <c r="L63" i="6"/>
  <c r="G63" i="6"/>
  <c r="J63" i="6" s="1"/>
  <c r="L38" i="6"/>
  <c r="G38" i="6"/>
  <c r="J38" i="6" s="1"/>
  <c r="L37" i="6"/>
  <c r="G37" i="6"/>
  <c r="J37" i="6" s="1"/>
  <c r="L10" i="6"/>
  <c r="G10" i="6"/>
  <c r="J10" i="6" s="1"/>
  <c r="L9" i="6"/>
  <c r="G9" i="6"/>
  <c r="J9" i="6" s="1"/>
  <c r="L62" i="6"/>
  <c r="G62" i="6"/>
  <c r="J62" i="6" s="1"/>
  <c r="L36" i="6"/>
  <c r="G36" i="6"/>
  <c r="J36" i="6" s="1"/>
  <c r="L8" i="6"/>
  <c r="G8" i="6"/>
  <c r="J8" i="6" s="1"/>
  <c r="L61" i="6"/>
  <c r="G61" i="6"/>
  <c r="J61" i="6" s="1"/>
  <c r="L35" i="6"/>
  <c r="G35" i="6"/>
  <c r="J35" i="6" s="1"/>
  <c r="L7" i="6"/>
  <c r="G7" i="6"/>
  <c r="J7" i="6" s="1"/>
  <c r="L60" i="6"/>
  <c r="G60" i="6"/>
  <c r="J60" i="6" s="1"/>
  <c r="L34" i="6"/>
  <c r="G34" i="6"/>
  <c r="J34" i="6" s="1"/>
  <c r="L6" i="6"/>
  <c r="G6" i="6"/>
  <c r="J6" i="6" s="1"/>
  <c r="L59" i="6"/>
  <c r="G59" i="6"/>
  <c r="L33" i="6"/>
  <c r="G33" i="6"/>
  <c r="L5" i="6"/>
  <c r="G5" i="6"/>
  <c r="L6" i="4"/>
  <c r="L7" i="4"/>
  <c r="L8" i="4"/>
  <c r="L9" i="4"/>
  <c r="L10" i="4"/>
  <c r="L11" i="4"/>
  <c r="L12" i="4"/>
  <c r="L13" i="4"/>
  <c r="L14" i="4"/>
  <c r="L15" i="4"/>
  <c r="L16" i="4"/>
  <c r="L19" i="4"/>
  <c r="L31" i="4"/>
  <c r="L62" i="4"/>
  <c r="L65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3" i="4"/>
  <c r="L61" i="4"/>
  <c r="L64" i="4"/>
  <c r="L5" i="4"/>
  <c r="G6" i="4"/>
  <c r="J6" i="4" s="1"/>
  <c r="G7" i="4"/>
  <c r="J7" i="4" s="1"/>
  <c r="G8" i="4"/>
  <c r="J8" i="4" s="1"/>
  <c r="G9" i="4"/>
  <c r="J9" i="4" s="1"/>
  <c r="G10" i="4"/>
  <c r="J10" i="4" s="1"/>
  <c r="G11" i="4"/>
  <c r="J11" i="4" s="1"/>
  <c r="G12" i="4"/>
  <c r="J12" i="4" s="1"/>
  <c r="G13" i="4"/>
  <c r="J13" i="4" s="1"/>
  <c r="G14" i="4"/>
  <c r="J14" i="4" s="1"/>
  <c r="G15" i="4"/>
  <c r="J15" i="4" s="1"/>
  <c r="G16" i="4"/>
  <c r="J16" i="4" s="1"/>
  <c r="G19" i="4"/>
  <c r="J19" i="4" s="1"/>
  <c r="G31" i="4"/>
  <c r="J31" i="4" s="1"/>
  <c r="G62" i="4"/>
  <c r="G65" i="4"/>
  <c r="G32" i="4"/>
  <c r="J32" i="4" s="1"/>
  <c r="G33" i="4"/>
  <c r="J33" i="4" s="1"/>
  <c r="G34" i="4"/>
  <c r="J34" i="4" s="1"/>
  <c r="G35" i="4"/>
  <c r="J35" i="4" s="1"/>
  <c r="G36" i="4"/>
  <c r="J36" i="4" s="1"/>
  <c r="G37" i="4"/>
  <c r="J37" i="4" s="1"/>
  <c r="G38" i="4"/>
  <c r="J38" i="4" s="1"/>
  <c r="G39" i="4"/>
  <c r="J39" i="4" s="1"/>
  <c r="G40" i="4"/>
  <c r="J40" i="4" s="1"/>
  <c r="G41" i="4"/>
  <c r="J41" i="4" s="1"/>
  <c r="G42" i="4"/>
  <c r="J42" i="4" s="1"/>
  <c r="G43" i="4"/>
  <c r="J43" i="4" s="1"/>
  <c r="G44" i="4"/>
  <c r="J44" i="4" s="1"/>
  <c r="G45" i="4"/>
  <c r="J45" i="4" s="1"/>
  <c r="G46" i="4"/>
  <c r="J46" i="4" s="1"/>
  <c r="G47" i="4"/>
  <c r="J47" i="4" s="1"/>
  <c r="G48" i="4"/>
  <c r="J48" i="4" s="1"/>
  <c r="G49" i="4"/>
  <c r="J49" i="4" s="1"/>
  <c r="G50" i="4"/>
  <c r="J50" i="4" s="1"/>
  <c r="G51" i="4"/>
  <c r="J51" i="4" s="1"/>
  <c r="G53" i="4"/>
  <c r="J53" i="4" s="1"/>
  <c r="G54" i="4"/>
  <c r="J54" i="4" s="1"/>
  <c r="G55" i="4"/>
  <c r="J55" i="4" s="1"/>
  <c r="G56" i="4"/>
  <c r="J56" i="4" s="1"/>
  <c r="G57" i="4"/>
  <c r="J57" i="4" s="1"/>
  <c r="G58" i="4"/>
  <c r="J58" i="4" s="1"/>
  <c r="G59" i="4"/>
  <c r="J59" i="4" s="1"/>
  <c r="G60" i="4"/>
  <c r="J60" i="4" s="1"/>
  <c r="G63" i="4"/>
  <c r="J63" i="4" s="1"/>
  <c r="G61" i="4"/>
  <c r="J61" i="4" s="1"/>
  <c r="G64" i="4"/>
  <c r="J64" i="4" s="1"/>
  <c r="G5" i="4"/>
  <c r="K16" i="14" l="1"/>
  <c r="K13" i="14"/>
  <c r="J19" i="10"/>
  <c r="J11" i="9"/>
  <c r="J22" i="9"/>
  <c r="J8" i="9"/>
  <c r="J21" i="9"/>
  <c r="J45" i="7"/>
  <c r="J89" i="6"/>
  <c r="J70" i="4"/>
  <c r="G20" i="13"/>
  <c r="K11" i="13"/>
  <c r="K105" i="8"/>
  <c r="J65" i="4"/>
  <c r="J71" i="4"/>
  <c r="J72" i="4"/>
  <c r="J69" i="4"/>
  <c r="J5" i="9"/>
  <c r="F20" i="9" s="1"/>
  <c r="K7" i="9" s="1"/>
  <c r="J23" i="9"/>
  <c r="J20" i="9"/>
  <c r="J5" i="14"/>
  <c r="G13" i="14" s="1"/>
  <c r="H20" i="13"/>
  <c r="H21" i="13"/>
  <c r="I20" i="13"/>
  <c r="I21" i="13"/>
  <c r="J5" i="12"/>
  <c r="G11" i="12" s="1"/>
  <c r="K14" i="12"/>
  <c r="K11" i="12"/>
  <c r="J9" i="11"/>
  <c r="F16" i="11" s="1"/>
  <c r="K10" i="11" s="1"/>
  <c r="J16" i="11"/>
  <c r="J5" i="11"/>
  <c r="F14" i="11" s="1"/>
  <c r="K6" i="11" s="1"/>
  <c r="J17" i="11"/>
  <c r="J14" i="11"/>
  <c r="J7" i="11"/>
  <c r="F15" i="11" s="1"/>
  <c r="K8" i="11" s="1"/>
  <c r="J15" i="11"/>
  <c r="J5" i="10"/>
  <c r="F17" i="10" s="1"/>
  <c r="J8" i="10"/>
  <c r="F18" i="10" s="1"/>
  <c r="J18" i="10"/>
  <c r="J11" i="10"/>
  <c r="F19" i="10" s="1"/>
  <c r="J20" i="10"/>
  <c r="J17" i="10"/>
  <c r="F22" i="9"/>
  <c r="K13" i="9" s="1"/>
  <c r="F21" i="9"/>
  <c r="J17" i="7"/>
  <c r="J43" i="7"/>
  <c r="J5" i="7"/>
  <c r="F42" i="7" s="1"/>
  <c r="K11" i="7" s="1"/>
  <c r="J42" i="7"/>
  <c r="J27" i="7"/>
  <c r="F44" i="7" s="1"/>
  <c r="G44" i="7" s="1"/>
  <c r="J44" i="7"/>
  <c r="J5" i="8"/>
  <c r="G102" i="8" s="1"/>
  <c r="K24" i="8" s="1"/>
  <c r="K102" i="8"/>
  <c r="J45" i="8"/>
  <c r="G103" i="8" s="1"/>
  <c r="K103" i="8"/>
  <c r="J75" i="8"/>
  <c r="G104" i="8" s="1"/>
  <c r="K98" i="8" s="1"/>
  <c r="K104" i="8"/>
  <c r="J5" i="6"/>
  <c r="F86" i="6" s="1"/>
  <c r="G86" i="6" s="1"/>
  <c r="J86" i="6"/>
  <c r="J59" i="6"/>
  <c r="J88" i="6"/>
  <c r="J33" i="6"/>
  <c r="F87" i="6" s="1"/>
  <c r="J87" i="6"/>
  <c r="J62" i="4"/>
  <c r="J5" i="4"/>
  <c r="K12" i="13"/>
  <c r="K10" i="13"/>
  <c r="F43" i="7"/>
  <c r="K23" i="7" s="1"/>
  <c r="F88" i="6"/>
  <c r="K79" i="6" s="1"/>
  <c r="G18" i="10" l="1"/>
  <c r="H18" i="10"/>
  <c r="I18" i="10"/>
  <c r="F70" i="4"/>
  <c r="K62" i="4" s="1"/>
  <c r="F71" i="4"/>
  <c r="F69" i="4"/>
  <c r="K5" i="4" s="1"/>
  <c r="K9" i="11"/>
  <c r="H19" i="10"/>
  <c r="I19" i="10"/>
  <c r="G19" i="10"/>
  <c r="K32" i="8"/>
  <c r="K17" i="6"/>
  <c r="K9" i="6"/>
  <c r="K14" i="13"/>
  <c r="K8" i="13"/>
  <c r="K12" i="9"/>
  <c r="K11" i="9"/>
  <c r="H13" i="14"/>
  <c r="I13" i="14"/>
  <c r="J13" i="14"/>
  <c r="G19" i="13"/>
  <c r="H19" i="13"/>
  <c r="I19" i="13"/>
  <c r="H11" i="12"/>
  <c r="J11" i="12"/>
  <c r="I11" i="12"/>
  <c r="K7" i="11"/>
  <c r="K5" i="11"/>
  <c r="K9" i="9"/>
  <c r="K10" i="9"/>
  <c r="K6" i="9"/>
  <c r="K8" i="9"/>
  <c r="K5" i="9"/>
  <c r="I103" i="8"/>
  <c r="H103" i="8"/>
  <c r="J103" i="8"/>
  <c r="K74" i="8"/>
  <c r="H104" i="8"/>
  <c r="J104" i="8"/>
  <c r="I104" i="8"/>
  <c r="J102" i="8"/>
  <c r="I102" i="8"/>
  <c r="H102" i="8"/>
  <c r="K6" i="13"/>
  <c r="K13" i="13"/>
  <c r="K15" i="13"/>
  <c r="K7" i="13"/>
  <c r="K5" i="13"/>
  <c r="K9" i="13"/>
  <c r="K18" i="8"/>
  <c r="K43" i="8"/>
  <c r="K44" i="8"/>
  <c r="K26" i="7"/>
  <c r="K25" i="7"/>
  <c r="K22" i="7"/>
  <c r="H43" i="7"/>
  <c r="K29" i="7"/>
  <c r="K32" i="7"/>
  <c r="I14" i="11"/>
  <c r="H14" i="11"/>
  <c r="G14" i="11"/>
  <c r="I15" i="11"/>
  <c r="H15" i="11"/>
  <c r="G15" i="11"/>
  <c r="I16" i="11"/>
  <c r="H16" i="11"/>
  <c r="G16" i="11"/>
  <c r="I22" i="9"/>
  <c r="H22" i="9"/>
  <c r="G22" i="9"/>
  <c r="I20" i="9"/>
  <c r="G20" i="9"/>
  <c r="H20" i="9"/>
  <c r="I21" i="9"/>
  <c r="G21" i="9"/>
  <c r="H21" i="9"/>
  <c r="K82" i="8"/>
  <c r="K30" i="8"/>
  <c r="K14" i="8"/>
  <c r="K33" i="8"/>
  <c r="K26" i="8"/>
  <c r="K92" i="8"/>
  <c r="K84" i="8"/>
  <c r="K93" i="8"/>
  <c r="K78" i="8"/>
  <c r="K83" i="8"/>
  <c r="K94" i="8"/>
  <c r="K80" i="8"/>
  <c r="K55" i="8"/>
  <c r="K91" i="8"/>
  <c r="K75" i="8"/>
  <c r="K8" i="8"/>
  <c r="K6" i="8"/>
  <c r="K17" i="8"/>
  <c r="K13" i="8"/>
  <c r="K42" i="8"/>
  <c r="K69" i="8"/>
  <c r="K62" i="8"/>
  <c r="K50" i="8"/>
  <c r="K34" i="8"/>
  <c r="K46" i="8"/>
  <c r="K51" i="8"/>
  <c r="K53" i="8"/>
  <c r="K35" i="8"/>
  <c r="K12" i="8"/>
  <c r="K37" i="8"/>
  <c r="K41" i="8"/>
  <c r="K67" i="8"/>
  <c r="K25" i="8"/>
  <c r="K56" i="8"/>
  <c r="K29" i="8"/>
  <c r="K31" i="8"/>
  <c r="K36" i="8"/>
  <c r="K45" i="8"/>
  <c r="K48" i="8"/>
  <c r="K68" i="8"/>
  <c r="K70" i="8"/>
  <c r="K23" i="8"/>
  <c r="K5" i="8"/>
  <c r="K59" i="8"/>
  <c r="K39" i="8"/>
  <c r="K87" i="8"/>
  <c r="K57" i="8"/>
  <c r="K61" i="8"/>
  <c r="K65" i="8"/>
  <c r="K90" i="8"/>
  <c r="K21" i="8"/>
  <c r="K16" i="8"/>
  <c r="K88" i="8"/>
  <c r="K54" i="8"/>
  <c r="K96" i="8"/>
  <c r="K27" i="8"/>
  <c r="K76" i="8"/>
  <c r="K86" i="8"/>
  <c r="K9" i="8"/>
  <c r="K28" i="8"/>
  <c r="K15" i="8"/>
  <c r="K63" i="8"/>
  <c r="K89" i="8"/>
  <c r="K79" i="8"/>
  <c r="K38" i="8"/>
  <c r="K60" i="8"/>
  <c r="K77" i="8"/>
  <c r="K73" i="8"/>
  <c r="K72" i="8"/>
  <c r="K97" i="8"/>
  <c r="K52" i="8"/>
  <c r="K7" i="8"/>
  <c r="K66" i="8"/>
  <c r="K19" i="8"/>
  <c r="K10" i="8"/>
  <c r="K95" i="8"/>
  <c r="K40" i="8"/>
  <c r="K58" i="8"/>
  <c r="K64" i="8"/>
  <c r="K81" i="8"/>
  <c r="K71" i="8"/>
  <c r="K22" i="8"/>
  <c r="K49" i="8"/>
  <c r="K85" i="8"/>
  <c r="K11" i="8"/>
  <c r="K20" i="8"/>
  <c r="K47" i="8"/>
  <c r="K17" i="7"/>
  <c r="G43" i="7"/>
  <c r="K35" i="7"/>
  <c r="K34" i="7"/>
  <c r="K31" i="7"/>
  <c r="I43" i="7"/>
  <c r="K20" i="7"/>
  <c r="I44" i="7"/>
  <c r="K30" i="7"/>
  <c r="H44" i="7"/>
  <c r="K28" i="7"/>
  <c r="K19" i="7"/>
  <c r="K21" i="7"/>
  <c r="K6" i="7"/>
  <c r="K5" i="7"/>
  <c r="K10" i="7"/>
  <c r="K12" i="7"/>
  <c r="K24" i="7"/>
  <c r="K27" i="7"/>
  <c r="K18" i="7"/>
  <c r="K13" i="7"/>
  <c r="K9" i="7"/>
  <c r="K16" i="7"/>
  <c r="H42" i="7"/>
  <c r="K15" i="7"/>
  <c r="K8" i="7"/>
  <c r="K7" i="7"/>
  <c r="I42" i="7"/>
  <c r="G42" i="7"/>
  <c r="K14" i="7"/>
  <c r="K33" i="7"/>
  <c r="K38" i="6"/>
  <c r="K7" i="6"/>
  <c r="K14" i="6"/>
  <c r="K48" i="6"/>
  <c r="K75" i="6"/>
  <c r="K71" i="6"/>
  <c r="K63" i="6"/>
  <c r="K62" i="6"/>
  <c r="K72" i="6"/>
  <c r="K69" i="6"/>
  <c r="K40" i="6"/>
  <c r="K45" i="6"/>
  <c r="I88" i="6"/>
  <c r="H88" i="6"/>
  <c r="G88" i="6"/>
  <c r="K31" i="6"/>
  <c r="K81" i="6"/>
  <c r="K53" i="6"/>
  <c r="I87" i="6"/>
  <c r="H87" i="6"/>
  <c r="G87" i="6"/>
  <c r="K77" i="6"/>
  <c r="K22" i="6"/>
  <c r="K43" i="6"/>
  <c r="I86" i="6"/>
  <c r="H86" i="6"/>
  <c r="K30" i="6"/>
  <c r="K76" i="6"/>
  <c r="K20" i="6"/>
  <c r="K41" i="6"/>
  <c r="K8" i="6"/>
  <c r="K26" i="6"/>
  <c r="K68" i="6"/>
  <c r="K58" i="6"/>
  <c r="K25" i="6"/>
  <c r="K46" i="6"/>
  <c r="K67" i="6"/>
  <c r="K36" i="6"/>
  <c r="K78" i="6"/>
  <c r="K12" i="6"/>
  <c r="K27" i="6"/>
  <c r="K32" i="6"/>
  <c r="K54" i="6"/>
  <c r="K49" i="6"/>
  <c r="K15" i="6"/>
  <c r="K37" i="6"/>
  <c r="K23" i="6"/>
  <c r="K80" i="6"/>
  <c r="K52" i="6"/>
  <c r="K18" i="6"/>
  <c r="K13" i="6"/>
  <c r="K61" i="6"/>
  <c r="K51" i="6"/>
  <c r="K65" i="6"/>
  <c r="K56" i="6"/>
  <c r="K74" i="6"/>
  <c r="K70" i="6"/>
  <c r="K39" i="6"/>
  <c r="K6" i="6"/>
  <c r="K82" i="6"/>
  <c r="K10" i="6"/>
  <c r="K29" i="6"/>
  <c r="K5" i="6"/>
  <c r="K57" i="6"/>
  <c r="K24" i="6"/>
  <c r="K47" i="6"/>
  <c r="K66" i="6"/>
  <c r="K35" i="6"/>
  <c r="K42" i="6"/>
  <c r="K28" i="6"/>
  <c r="K50" i="6"/>
  <c r="K16" i="6"/>
  <c r="K64" i="6"/>
  <c r="K33" i="6"/>
  <c r="K21" i="6"/>
  <c r="K60" i="6"/>
  <c r="K55" i="6"/>
  <c r="K73" i="6"/>
  <c r="K44" i="6"/>
  <c r="K11" i="6"/>
  <c r="K59" i="6"/>
  <c r="K19" i="6"/>
  <c r="K34" i="6"/>
  <c r="H71" i="4" l="1"/>
  <c r="I71" i="4"/>
  <c r="G71" i="4"/>
  <c r="K12" i="4"/>
  <c r="G69" i="4"/>
  <c r="H69" i="4"/>
  <c r="I69" i="4"/>
  <c r="K52" i="4"/>
  <c r="K45" i="4"/>
  <c r="K24" i="4"/>
  <c r="K46" i="4"/>
  <c r="K60" i="4"/>
  <c r="K31" i="4"/>
  <c r="K15" i="4"/>
  <c r="K49" i="4"/>
  <c r="K35" i="4"/>
  <c r="K14" i="4"/>
  <c r="K25" i="4"/>
  <c r="K40" i="4"/>
  <c r="K61" i="4"/>
  <c r="K16" i="4"/>
  <c r="K59" i="4"/>
  <c r="K37" i="4"/>
  <c r="K30" i="4"/>
  <c r="K54" i="4"/>
  <c r="K38" i="4"/>
  <c r="K51" i="4"/>
  <c r="K53" i="4"/>
  <c r="K7" i="4"/>
  <c r="K41" i="4"/>
  <c r="K32" i="4"/>
  <c r="K57" i="4"/>
  <c r="K23" i="4"/>
  <c r="K29" i="4"/>
  <c r="K18" i="4"/>
  <c r="K48" i="4"/>
  <c r="K22" i="4"/>
  <c r="K11" i="4"/>
  <c r="K43" i="4"/>
  <c r="K19" i="4"/>
  <c r="K27" i="4"/>
  <c r="K33" i="4"/>
  <c r="K6" i="4"/>
  <c r="K56" i="4"/>
  <c r="K13" i="4"/>
  <c r="K10" i="4"/>
  <c r="K8" i="4"/>
  <c r="K50" i="4"/>
  <c r="K36" i="4"/>
  <c r="K26" i="4"/>
  <c r="K47" i="4"/>
  <c r="K44" i="4"/>
  <c r="K28" i="4"/>
  <c r="K42" i="4"/>
  <c r="K21" i="4"/>
  <c r="K17" i="4"/>
  <c r="K39" i="4"/>
  <c r="K55" i="4"/>
  <c r="K9" i="4"/>
  <c r="K20" i="4"/>
  <c r="K34" i="4"/>
  <c r="K58" i="4"/>
  <c r="K65" i="4"/>
  <c r="K63" i="4"/>
  <c r="G70" i="4"/>
  <c r="H70" i="4"/>
  <c r="I70" i="4"/>
  <c r="K64" i="4"/>
  <c r="J118" i="1" l="1"/>
  <c r="K118" i="1" s="1"/>
  <c r="L118" i="1"/>
  <c r="M118" i="1"/>
  <c r="N118" i="1"/>
  <c r="J120" i="1"/>
  <c r="K120" i="1" s="1"/>
  <c r="L120" i="1"/>
  <c r="M120" i="1"/>
  <c r="N120" i="1"/>
  <c r="J116" i="1"/>
  <c r="K116" i="1" s="1"/>
  <c r="L116" i="1"/>
  <c r="M116" i="1"/>
  <c r="N116" i="1"/>
  <c r="J117" i="1"/>
  <c r="K117" i="1" s="1"/>
  <c r="L117" i="1"/>
  <c r="M117" i="1"/>
  <c r="N117" i="1"/>
  <c r="J119" i="1"/>
  <c r="K119" i="1" s="1"/>
  <c r="L119" i="1"/>
  <c r="M119" i="1"/>
  <c r="N119" i="1"/>
  <c r="J121" i="1"/>
  <c r="K121" i="1" s="1"/>
  <c r="L121" i="1"/>
  <c r="M121" i="1"/>
  <c r="N121" i="1"/>
  <c r="N167" i="1"/>
  <c r="N72" i="1"/>
  <c r="N95" i="1"/>
  <c r="N49" i="1"/>
  <c r="N73" i="1"/>
  <c r="N96" i="1"/>
  <c r="N50" i="1"/>
  <c r="N74" i="1"/>
  <c r="N97" i="1"/>
  <c r="N145" i="1"/>
  <c r="N150" i="1"/>
  <c r="N154" i="1"/>
  <c r="N51" i="1"/>
  <c r="N75" i="1"/>
  <c r="N98" i="1"/>
  <c r="N52" i="1"/>
  <c r="N76" i="1"/>
  <c r="N99" i="1"/>
  <c r="N168" i="1"/>
  <c r="N172" i="1"/>
  <c r="N175" i="1"/>
  <c r="N53" i="1"/>
  <c r="N77" i="1"/>
  <c r="N100" i="1"/>
  <c r="N54" i="1"/>
  <c r="N78" i="1"/>
  <c r="N101" i="1"/>
  <c r="N55" i="1"/>
  <c r="N79" i="1"/>
  <c r="N102" i="1"/>
  <c r="N56" i="1"/>
  <c r="N80" i="1"/>
  <c r="N103" i="1"/>
  <c r="N57" i="1"/>
  <c r="N81" i="1"/>
  <c r="N104" i="1"/>
  <c r="N58" i="1"/>
  <c r="N82" i="1"/>
  <c r="N105" i="1"/>
  <c r="N59" i="1"/>
  <c r="N83" i="1"/>
  <c r="N106" i="1"/>
  <c r="N60" i="1"/>
  <c r="N84" i="1"/>
  <c r="N107" i="1"/>
  <c r="N146" i="1"/>
  <c r="N151" i="1"/>
  <c r="N155" i="1"/>
  <c r="N61" i="1"/>
  <c r="N85" i="1"/>
  <c r="N222" i="1"/>
  <c r="N223" i="1"/>
  <c r="N229" i="1"/>
  <c r="N235" i="1"/>
  <c r="N147" i="1"/>
  <c r="N152" i="1"/>
  <c r="N156" i="1"/>
  <c r="N224" i="1"/>
  <c r="N230" i="1"/>
  <c r="N148" i="1"/>
  <c r="N62" i="1"/>
  <c r="N86" i="1"/>
  <c r="N108" i="1"/>
  <c r="N63" i="1"/>
  <c r="N87" i="1"/>
  <c r="N64" i="1"/>
  <c r="N88" i="1"/>
  <c r="N109" i="1"/>
  <c r="N65" i="1"/>
  <c r="N89" i="1"/>
  <c r="N110" i="1"/>
  <c r="N66" i="1"/>
  <c r="N90" i="1"/>
  <c r="N111" i="1"/>
  <c r="N149" i="1"/>
  <c r="N153" i="1"/>
  <c r="N157" i="1"/>
  <c r="N225" i="1"/>
  <c r="N231" i="1"/>
  <c r="N236" i="1"/>
  <c r="N169" i="1"/>
  <c r="N173" i="1"/>
  <c r="N176" i="1"/>
  <c r="N67" i="1"/>
  <c r="N91" i="1"/>
  <c r="N112" i="1"/>
  <c r="N68" i="1"/>
  <c r="N92" i="1"/>
  <c r="N113" i="1"/>
  <c r="N170" i="1"/>
  <c r="N174" i="1"/>
  <c r="N177" i="1"/>
  <c r="N69" i="1"/>
  <c r="N93" i="1"/>
  <c r="N114" i="1"/>
  <c r="N70" i="1"/>
  <c r="N94" i="1"/>
  <c r="N115" i="1"/>
  <c r="N71" i="1"/>
  <c r="N171" i="1"/>
  <c r="N226" i="1"/>
  <c r="N232" i="1"/>
  <c r="N237" i="1"/>
  <c r="N227" i="1"/>
  <c r="N233" i="1"/>
  <c r="N238" i="1"/>
  <c r="N228" i="1"/>
  <c r="N234" i="1"/>
  <c r="N239" i="1"/>
  <c r="N22" i="1"/>
  <c r="N23" i="1"/>
  <c r="N24" i="1"/>
  <c r="N25" i="1"/>
  <c r="N182" i="1"/>
  <c r="N202" i="1"/>
  <c r="N183" i="1"/>
  <c r="N203" i="1"/>
  <c r="N184" i="1"/>
  <c r="N204" i="1"/>
  <c r="N26" i="1"/>
  <c r="N27" i="1"/>
  <c r="N28" i="1"/>
  <c r="N29" i="1"/>
  <c r="N30" i="1"/>
  <c r="N31" i="1"/>
  <c r="N185" i="1"/>
  <c r="N205" i="1"/>
  <c r="N215" i="1"/>
  <c r="N32" i="1"/>
  <c r="N33" i="1"/>
  <c r="N164" i="1"/>
  <c r="N123" i="1"/>
  <c r="N124" i="1"/>
  <c r="N131" i="1"/>
  <c r="N138" i="1"/>
  <c r="N186" i="1"/>
  <c r="N206" i="1"/>
  <c r="N216" i="1"/>
  <c r="N187" i="1"/>
  <c r="N188" i="1"/>
  <c r="N207" i="1"/>
  <c r="N217" i="1"/>
  <c r="N189" i="1"/>
  <c r="N208" i="1"/>
  <c r="N218" i="1"/>
  <c r="N190" i="1"/>
  <c r="N209" i="1"/>
  <c r="N219" i="1"/>
  <c r="N191" i="1"/>
  <c r="N192" i="1"/>
  <c r="N210" i="1"/>
  <c r="N220" i="1"/>
  <c r="N193" i="1"/>
  <c r="N34" i="1"/>
  <c r="N300" i="1"/>
  <c r="N125" i="1"/>
  <c r="N132" i="1"/>
  <c r="N139" i="1"/>
  <c r="N194" i="1"/>
  <c r="N211" i="1"/>
  <c r="N126" i="1"/>
  <c r="N133" i="1"/>
  <c r="N140" i="1"/>
  <c r="N35" i="1"/>
  <c r="N36" i="1"/>
  <c r="N307" i="1"/>
  <c r="N301" i="1"/>
  <c r="N302" i="1"/>
  <c r="N303" i="1"/>
  <c r="N304" i="1"/>
  <c r="N195" i="1"/>
  <c r="N196" i="1"/>
  <c r="N212" i="1"/>
  <c r="N197" i="1"/>
  <c r="N127" i="1"/>
  <c r="N134" i="1"/>
  <c r="N141" i="1"/>
  <c r="N128" i="1"/>
  <c r="N135" i="1"/>
  <c r="N142" i="1"/>
  <c r="N129" i="1"/>
  <c r="N136" i="1"/>
  <c r="N143" i="1"/>
  <c r="N130" i="1"/>
  <c r="N137" i="1"/>
  <c r="N144" i="1"/>
  <c r="N291" i="1"/>
  <c r="N37" i="1"/>
  <c r="N38" i="1"/>
  <c r="N39" i="1"/>
  <c r="N40" i="1"/>
  <c r="N41" i="1"/>
  <c r="N42" i="1"/>
  <c r="N43" i="1"/>
  <c r="N292" i="1"/>
  <c r="N293" i="1"/>
  <c r="N294" i="1"/>
  <c r="N2" i="1"/>
  <c r="N3" i="1"/>
  <c r="N4" i="1"/>
  <c r="N5" i="1"/>
  <c r="N295" i="1"/>
  <c r="N296" i="1"/>
  <c r="N198" i="1"/>
  <c r="N199" i="1"/>
  <c r="N213" i="1"/>
  <c r="N221" i="1"/>
  <c r="N200" i="1"/>
  <c r="N214" i="1"/>
  <c r="N44" i="1"/>
  <c r="N201" i="1"/>
  <c r="N45" i="1"/>
  <c r="N46" i="1"/>
  <c r="N47" i="1"/>
  <c r="N165" i="1"/>
  <c r="N166" i="1"/>
  <c r="N122" i="1"/>
  <c r="N7" i="1"/>
  <c r="N12" i="1"/>
  <c r="N17" i="1"/>
  <c r="N161" i="1"/>
  <c r="N162" i="1"/>
  <c r="N163" i="1"/>
  <c r="N8" i="1"/>
  <c r="N13" i="1"/>
  <c r="N18" i="1"/>
  <c r="N9" i="1"/>
  <c r="N14" i="1"/>
  <c r="N19" i="1"/>
  <c r="N10" i="1"/>
  <c r="N15" i="1"/>
  <c r="N20" i="1"/>
  <c r="N11" i="1"/>
  <c r="N16" i="1"/>
  <c r="N21" i="1"/>
  <c r="N297" i="1"/>
  <c r="N298" i="1"/>
  <c r="N299" i="1"/>
  <c r="N158" i="1"/>
  <c r="N159" i="1"/>
  <c r="N160" i="1"/>
  <c r="N178" i="1"/>
  <c r="N180" i="1"/>
  <c r="N181" i="1"/>
  <c r="N6" i="1"/>
  <c r="N306" i="1"/>
  <c r="N305" i="1"/>
  <c r="N179" i="1"/>
  <c r="N48" i="1"/>
  <c r="J72" i="1"/>
  <c r="K72" i="1" s="1"/>
  <c r="L72" i="1"/>
  <c r="M72" i="1"/>
  <c r="J73" i="1"/>
  <c r="K73" i="1" s="1"/>
  <c r="L73" i="1"/>
  <c r="M73" i="1"/>
  <c r="J74" i="1"/>
  <c r="K74" i="1" s="1"/>
  <c r="L74" i="1"/>
  <c r="M74" i="1"/>
  <c r="J150" i="1"/>
  <c r="K150" i="1" s="1"/>
  <c r="L150" i="1"/>
  <c r="M150" i="1"/>
  <c r="J75" i="1"/>
  <c r="K75" i="1" s="1"/>
  <c r="L75" i="1"/>
  <c r="M75" i="1"/>
  <c r="J76" i="1"/>
  <c r="K76" i="1" s="1"/>
  <c r="L76" i="1"/>
  <c r="M76" i="1"/>
  <c r="J77" i="1"/>
  <c r="K77" i="1" s="1"/>
  <c r="L77" i="1"/>
  <c r="M77" i="1"/>
  <c r="J78" i="1"/>
  <c r="K78" i="1" s="1"/>
  <c r="L78" i="1"/>
  <c r="M78" i="1"/>
  <c r="J79" i="1"/>
  <c r="K79" i="1" s="1"/>
  <c r="L79" i="1"/>
  <c r="M79" i="1"/>
  <c r="J80" i="1"/>
  <c r="K80" i="1" s="1"/>
  <c r="L80" i="1"/>
  <c r="M80" i="1"/>
  <c r="J81" i="1"/>
  <c r="K81" i="1" s="1"/>
  <c r="L81" i="1"/>
  <c r="M81" i="1"/>
  <c r="J82" i="1"/>
  <c r="K82" i="1" s="1"/>
  <c r="L82" i="1"/>
  <c r="M82" i="1"/>
  <c r="J83" i="1"/>
  <c r="K83" i="1" s="1"/>
  <c r="L83" i="1"/>
  <c r="M83" i="1"/>
  <c r="J84" i="1"/>
  <c r="K84" i="1" s="1"/>
  <c r="L84" i="1"/>
  <c r="M84" i="1"/>
  <c r="J151" i="1"/>
  <c r="K151" i="1" s="1"/>
  <c r="L151" i="1"/>
  <c r="M151" i="1"/>
  <c r="J85" i="1"/>
  <c r="K85" i="1" s="1"/>
  <c r="L85" i="1"/>
  <c r="M85" i="1"/>
  <c r="J152" i="1"/>
  <c r="K152" i="1" s="1"/>
  <c r="L152" i="1"/>
  <c r="M152" i="1"/>
  <c r="J86" i="1"/>
  <c r="K86" i="1" s="1"/>
  <c r="L86" i="1"/>
  <c r="M86" i="1"/>
  <c r="J87" i="1"/>
  <c r="K87" i="1" s="1"/>
  <c r="L87" i="1"/>
  <c r="M87" i="1"/>
  <c r="J88" i="1"/>
  <c r="K88" i="1" s="1"/>
  <c r="L88" i="1"/>
  <c r="M88" i="1"/>
  <c r="J89" i="1"/>
  <c r="K89" i="1" s="1"/>
  <c r="L89" i="1"/>
  <c r="M89" i="1"/>
  <c r="J90" i="1"/>
  <c r="K90" i="1" s="1"/>
  <c r="L90" i="1"/>
  <c r="M90" i="1"/>
  <c r="J153" i="1"/>
  <c r="K153" i="1" s="1"/>
  <c r="L153" i="1"/>
  <c r="M153" i="1"/>
  <c r="J91" i="1"/>
  <c r="K91" i="1" s="1"/>
  <c r="L91" i="1"/>
  <c r="M91" i="1"/>
  <c r="J92" i="1"/>
  <c r="K92" i="1" s="1"/>
  <c r="L92" i="1"/>
  <c r="M92" i="1"/>
  <c r="J93" i="1"/>
  <c r="K93" i="1" s="1"/>
  <c r="L93" i="1"/>
  <c r="M93" i="1"/>
  <c r="J94" i="1"/>
  <c r="K94" i="1" s="1"/>
  <c r="L94" i="1"/>
  <c r="M94" i="1"/>
  <c r="J131" i="1"/>
  <c r="K131" i="1" s="1"/>
  <c r="L131" i="1"/>
  <c r="M131" i="1"/>
  <c r="J132" i="1"/>
  <c r="K132" i="1" s="1"/>
  <c r="L132" i="1"/>
  <c r="M132" i="1"/>
  <c r="J133" i="1"/>
  <c r="K133" i="1" s="1"/>
  <c r="L133" i="1"/>
  <c r="M133" i="1"/>
  <c r="J134" i="1"/>
  <c r="K134" i="1" s="1"/>
  <c r="L134" i="1"/>
  <c r="M134" i="1"/>
  <c r="J135" i="1"/>
  <c r="K135" i="1" s="1"/>
  <c r="L135" i="1"/>
  <c r="M135" i="1"/>
  <c r="J136" i="1"/>
  <c r="K136" i="1" s="1"/>
  <c r="L136" i="1"/>
  <c r="M136" i="1"/>
  <c r="J137" i="1"/>
  <c r="K137" i="1" s="1"/>
  <c r="L137" i="1"/>
  <c r="M137" i="1"/>
  <c r="J47" i="1"/>
  <c r="K47" i="1" s="1"/>
  <c r="L47" i="1"/>
  <c r="M47" i="1"/>
  <c r="J12" i="1"/>
  <c r="K12" i="1" s="1"/>
  <c r="L12" i="1"/>
  <c r="M12" i="1"/>
  <c r="J13" i="1"/>
  <c r="K13" i="1" s="1"/>
  <c r="L13" i="1"/>
  <c r="M13" i="1"/>
  <c r="J14" i="1"/>
  <c r="K14" i="1" s="1"/>
  <c r="L14" i="1"/>
  <c r="M14" i="1"/>
  <c r="J15" i="1"/>
  <c r="K15" i="1" s="1"/>
  <c r="L15" i="1"/>
  <c r="M15" i="1"/>
  <c r="J16" i="1"/>
  <c r="K16" i="1" s="1"/>
  <c r="L16" i="1"/>
  <c r="M16" i="1"/>
  <c r="J95" i="1"/>
  <c r="K95" i="1" s="1"/>
  <c r="L95" i="1"/>
  <c r="M95" i="1"/>
  <c r="J96" i="1"/>
  <c r="K96" i="1" s="1"/>
  <c r="L96" i="1"/>
  <c r="M96" i="1"/>
  <c r="J97" i="1"/>
  <c r="K97" i="1" s="1"/>
  <c r="L97" i="1"/>
  <c r="M97" i="1"/>
  <c r="J154" i="1"/>
  <c r="K154" i="1" s="1"/>
  <c r="L154" i="1"/>
  <c r="M154" i="1"/>
  <c r="J98" i="1"/>
  <c r="K98" i="1" s="1"/>
  <c r="L98" i="1"/>
  <c r="M98" i="1"/>
  <c r="J99" i="1"/>
  <c r="K99" i="1" s="1"/>
  <c r="L99" i="1"/>
  <c r="M99" i="1"/>
  <c r="J100" i="1"/>
  <c r="K100" i="1" s="1"/>
  <c r="L100" i="1"/>
  <c r="M100" i="1"/>
  <c r="J101" i="1"/>
  <c r="K101" i="1" s="1"/>
  <c r="L101" i="1"/>
  <c r="M101" i="1"/>
  <c r="J102" i="1"/>
  <c r="K102" i="1" s="1"/>
  <c r="L102" i="1"/>
  <c r="M102" i="1"/>
  <c r="J103" i="1"/>
  <c r="K103" i="1" s="1"/>
  <c r="L103" i="1"/>
  <c r="M103" i="1"/>
  <c r="J104" i="1"/>
  <c r="K104" i="1" s="1"/>
  <c r="L104" i="1"/>
  <c r="M104" i="1"/>
  <c r="J105" i="1"/>
  <c r="K105" i="1" s="1"/>
  <c r="L105" i="1"/>
  <c r="M105" i="1"/>
  <c r="J106" i="1"/>
  <c r="K106" i="1" s="1"/>
  <c r="L106" i="1"/>
  <c r="M106" i="1"/>
  <c r="J107" i="1"/>
  <c r="K107" i="1" s="1"/>
  <c r="L107" i="1"/>
  <c r="M107" i="1"/>
  <c r="J155" i="1"/>
  <c r="K155" i="1" s="1"/>
  <c r="L155" i="1"/>
  <c r="M155" i="1"/>
  <c r="J156" i="1"/>
  <c r="K156" i="1" s="1"/>
  <c r="L156" i="1"/>
  <c r="M156" i="1"/>
  <c r="J108" i="1"/>
  <c r="K108" i="1" s="1"/>
  <c r="L108" i="1"/>
  <c r="M108" i="1"/>
  <c r="J109" i="1"/>
  <c r="K109" i="1" s="1"/>
  <c r="L109" i="1"/>
  <c r="M109" i="1"/>
  <c r="J110" i="1"/>
  <c r="K110" i="1" s="1"/>
  <c r="L110" i="1"/>
  <c r="M110" i="1"/>
  <c r="J111" i="1"/>
  <c r="K111" i="1" s="1"/>
  <c r="L111" i="1"/>
  <c r="M111" i="1"/>
  <c r="J157" i="1"/>
  <c r="K157" i="1" s="1"/>
  <c r="L157" i="1"/>
  <c r="M157" i="1"/>
  <c r="J112" i="1"/>
  <c r="K112" i="1" s="1"/>
  <c r="L112" i="1"/>
  <c r="M112" i="1"/>
  <c r="J113" i="1"/>
  <c r="K113" i="1" s="1"/>
  <c r="L113" i="1"/>
  <c r="M113" i="1"/>
  <c r="J114" i="1"/>
  <c r="K114" i="1" s="1"/>
  <c r="L114" i="1"/>
  <c r="M114" i="1"/>
  <c r="J115" i="1"/>
  <c r="K115" i="1" s="1"/>
  <c r="L115" i="1"/>
  <c r="M115" i="1"/>
  <c r="J138" i="1"/>
  <c r="K138" i="1" s="1"/>
  <c r="L138" i="1"/>
  <c r="M138" i="1"/>
  <c r="J139" i="1"/>
  <c r="K139" i="1" s="1"/>
  <c r="L139" i="1"/>
  <c r="M139" i="1"/>
  <c r="J140" i="1"/>
  <c r="K140" i="1" s="1"/>
  <c r="L140" i="1"/>
  <c r="M140" i="1"/>
  <c r="J141" i="1"/>
  <c r="K141" i="1" s="1"/>
  <c r="L141" i="1"/>
  <c r="M141" i="1"/>
  <c r="J142" i="1"/>
  <c r="K142" i="1" s="1"/>
  <c r="L142" i="1"/>
  <c r="M142" i="1"/>
  <c r="J143" i="1"/>
  <c r="K143" i="1" s="1"/>
  <c r="L143" i="1"/>
  <c r="M143" i="1"/>
  <c r="J144" i="1"/>
  <c r="K144" i="1" s="1"/>
  <c r="L144" i="1"/>
  <c r="M144" i="1"/>
  <c r="J17" i="1"/>
  <c r="K17" i="1" s="1"/>
  <c r="L17" i="1"/>
  <c r="M17" i="1"/>
  <c r="J18" i="1"/>
  <c r="K18" i="1" s="1"/>
  <c r="L18" i="1"/>
  <c r="M18" i="1"/>
  <c r="J19" i="1"/>
  <c r="K19" i="1" s="1"/>
  <c r="L19" i="1"/>
  <c r="M19" i="1"/>
  <c r="J20" i="1"/>
  <c r="K20" i="1" s="1"/>
  <c r="L20" i="1"/>
  <c r="M20" i="1"/>
  <c r="J21" i="1"/>
  <c r="K21" i="1" s="1"/>
  <c r="L21" i="1"/>
  <c r="M21" i="1"/>
  <c r="J122" i="1"/>
  <c r="K122" i="1" s="1"/>
  <c r="L122" i="1"/>
  <c r="M122" i="1"/>
  <c r="J49" i="1"/>
  <c r="K49" i="1" s="1"/>
  <c r="L49" i="1"/>
  <c r="M49" i="1"/>
  <c r="J50" i="1"/>
  <c r="K50" i="1" s="1"/>
  <c r="L50" i="1"/>
  <c r="M50" i="1"/>
  <c r="J145" i="1"/>
  <c r="K145" i="1" s="1"/>
  <c r="L145" i="1"/>
  <c r="M145" i="1"/>
  <c r="J51" i="1"/>
  <c r="K51" i="1" s="1"/>
  <c r="L51" i="1"/>
  <c r="M51" i="1"/>
  <c r="J52" i="1"/>
  <c r="K52" i="1" s="1"/>
  <c r="L52" i="1"/>
  <c r="M52" i="1"/>
  <c r="J53" i="1"/>
  <c r="K53" i="1" s="1"/>
  <c r="L53" i="1"/>
  <c r="M53" i="1"/>
  <c r="J54" i="1"/>
  <c r="K54" i="1" s="1"/>
  <c r="L54" i="1"/>
  <c r="M54" i="1"/>
  <c r="J55" i="1"/>
  <c r="K55" i="1" s="1"/>
  <c r="L55" i="1"/>
  <c r="M55" i="1"/>
  <c r="J56" i="1"/>
  <c r="K56" i="1" s="1"/>
  <c r="L56" i="1"/>
  <c r="M56" i="1"/>
  <c r="J57" i="1"/>
  <c r="K57" i="1" s="1"/>
  <c r="L57" i="1"/>
  <c r="M57" i="1"/>
  <c r="J58" i="1"/>
  <c r="K58" i="1" s="1"/>
  <c r="L58" i="1"/>
  <c r="M58" i="1"/>
  <c r="J59" i="1"/>
  <c r="K59" i="1" s="1"/>
  <c r="L59" i="1"/>
  <c r="M59" i="1"/>
  <c r="J60" i="1"/>
  <c r="K60" i="1" s="1"/>
  <c r="L60" i="1"/>
  <c r="M60" i="1"/>
  <c r="J146" i="1"/>
  <c r="K146" i="1" s="1"/>
  <c r="L146" i="1"/>
  <c r="M146" i="1"/>
  <c r="J61" i="1"/>
  <c r="K61" i="1" s="1"/>
  <c r="L61" i="1"/>
  <c r="M61" i="1"/>
  <c r="J147" i="1"/>
  <c r="K147" i="1" s="1"/>
  <c r="L147" i="1"/>
  <c r="M147" i="1"/>
  <c r="J148" i="1"/>
  <c r="K148" i="1" s="1"/>
  <c r="L148" i="1"/>
  <c r="M148" i="1"/>
  <c r="J62" i="1"/>
  <c r="K62" i="1" s="1"/>
  <c r="L62" i="1"/>
  <c r="M62" i="1"/>
  <c r="J63" i="1"/>
  <c r="K63" i="1" s="1"/>
  <c r="L63" i="1"/>
  <c r="M63" i="1"/>
  <c r="J64" i="1"/>
  <c r="K64" i="1" s="1"/>
  <c r="L64" i="1"/>
  <c r="M64" i="1"/>
  <c r="J65" i="1"/>
  <c r="K65" i="1" s="1"/>
  <c r="L65" i="1"/>
  <c r="M65" i="1"/>
  <c r="J66" i="1"/>
  <c r="K66" i="1" s="1"/>
  <c r="L66" i="1"/>
  <c r="M66" i="1"/>
  <c r="J149" i="1"/>
  <c r="K149" i="1" s="1"/>
  <c r="L149" i="1"/>
  <c r="M149" i="1"/>
  <c r="J67" i="1"/>
  <c r="K67" i="1" s="1"/>
  <c r="L67" i="1"/>
  <c r="M67" i="1"/>
  <c r="J68" i="1"/>
  <c r="K68" i="1" s="1"/>
  <c r="L68" i="1"/>
  <c r="M68" i="1"/>
  <c r="J69" i="1"/>
  <c r="K69" i="1" s="1"/>
  <c r="L69" i="1"/>
  <c r="M69" i="1"/>
  <c r="J70" i="1"/>
  <c r="K70" i="1" s="1"/>
  <c r="L70" i="1"/>
  <c r="M70" i="1"/>
  <c r="J71" i="1"/>
  <c r="K71" i="1" s="1"/>
  <c r="L71" i="1"/>
  <c r="M71" i="1"/>
  <c r="J22" i="1"/>
  <c r="K22" i="1" s="1"/>
  <c r="L22" i="1"/>
  <c r="M22" i="1"/>
  <c r="J23" i="1"/>
  <c r="K23" i="1" s="1"/>
  <c r="L23" i="1"/>
  <c r="M23" i="1"/>
  <c r="J24" i="1"/>
  <c r="K24" i="1" s="1"/>
  <c r="L24" i="1"/>
  <c r="M24" i="1"/>
  <c r="J25" i="1"/>
  <c r="K25" i="1" s="1"/>
  <c r="L25" i="1"/>
  <c r="M25" i="1"/>
  <c r="J26" i="1"/>
  <c r="K26" i="1" s="1"/>
  <c r="L26" i="1"/>
  <c r="M26" i="1"/>
  <c r="J27" i="1"/>
  <c r="K27" i="1" s="1"/>
  <c r="L27" i="1"/>
  <c r="M27" i="1"/>
  <c r="J28" i="1"/>
  <c r="K28" i="1" s="1"/>
  <c r="L28" i="1"/>
  <c r="M28" i="1"/>
  <c r="J29" i="1"/>
  <c r="K29" i="1" s="1"/>
  <c r="L29" i="1"/>
  <c r="M29" i="1"/>
  <c r="J30" i="1"/>
  <c r="K30" i="1" s="1"/>
  <c r="L30" i="1"/>
  <c r="M30" i="1"/>
  <c r="J31" i="1"/>
  <c r="K31" i="1" s="1"/>
  <c r="L31" i="1"/>
  <c r="M31" i="1"/>
  <c r="J32" i="1"/>
  <c r="K32" i="1" s="1"/>
  <c r="L32" i="1"/>
  <c r="M32" i="1"/>
  <c r="J33" i="1"/>
  <c r="K33" i="1" s="1"/>
  <c r="L33" i="1"/>
  <c r="M33" i="1"/>
  <c r="J123" i="1"/>
  <c r="K123" i="1" s="1"/>
  <c r="L123" i="1"/>
  <c r="M123" i="1"/>
  <c r="J124" i="1"/>
  <c r="K124" i="1" s="1"/>
  <c r="L124" i="1"/>
  <c r="M124" i="1"/>
  <c r="J34" i="1"/>
  <c r="K34" i="1" s="1"/>
  <c r="L34" i="1"/>
  <c r="M34" i="1"/>
  <c r="J125" i="1"/>
  <c r="K125" i="1" s="1"/>
  <c r="L125" i="1"/>
  <c r="M125" i="1"/>
  <c r="J126" i="1"/>
  <c r="K126" i="1" s="1"/>
  <c r="L126" i="1"/>
  <c r="M126" i="1"/>
  <c r="J35" i="1"/>
  <c r="K35" i="1" s="1"/>
  <c r="L35" i="1"/>
  <c r="M35" i="1"/>
  <c r="J36" i="1"/>
  <c r="K36" i="1" s="1"/>
  <c r="L36" i="1"/>
  <c r="M36" i="1"/>
  <c r="J127" i="1"/>
  <c r="K127" i="1" s="1"/>
  <c r="L127" i="1"/>
  <c r="M127" i="1"/>
  <c r="J128" i="1"/>
  <c r="K128" i="1" s="1"/>
  <c r="L128" i="1"/>
  <c r="M128" i="1"/>
  <c r="J129" i="1"/>
  <c r="K129" i="1" s="1"/>
  <c r="L129" i="1"/>
  <c r="M129" i="1"/>
  <c r="J130" i="1"/>
  <c r="K130" i="1" s="1"/>
  <c r="L130" i="1"/>
  <c r="M130" i="1"/>
  <c r="J37" i="1"/>
  <c r="K37" i="1" s="1"/>
  <c r="L37" i="1"/>
  <c r="M37" i="1"/>
  <c r="J38" i="1"/>
  <c r="K38" i="1" s="1"/>
  <c r="L38" i="1"/>
  <c r="M38" i="1"/>
  <c r="J39" i="1"/>
  <c r="K39" i="1" s="1"/>
  <c r="L39" i="1"/>
  <c r="M39" i="1"/>
  <c r="J40" i="1"/>
  <c r="K40" i="1" s="1"/>
  <c r="L40" i="1"/>
  <c r="M40" i="1"/>
  <c r="J41" i="1"/>
  <c r="K41" i="1" s="1"/>
  <c r="L41" i="1"/>
  <c r="M41" i="1"/>
  <c r="J42" i="1"/>
  <c r="K42" i="1" s="1"/>
  <c r="L42" i="1"/>
  <c r="M42" i="1"/>
  <c r="J43" i="1"/>
  <c r="K43" i="1" s="1"/>
  <c r="L43" i="1"/>
  <c r="M43" i="1"/>
  <c r="J44" i="1"/>
  <c r="K44" i="1" s="1"/>
  <c r="L44" i="1"/>
  <c r="M44" i="1"/>
  <c r="J45" i="1"/>
  <c r="K45" i="1" s="1"/>
  <c r="L45" i="1"/>
  <c r="M45" i="1"/>
  <c r="J46" i="1"/>
  <c r="K46" i="1" s="1"/>
  <c r="L46" i="1"/>
  <c r="M46" i="1"/>
  <c r="J7" i="1"/>
  <c r="K7" i="1" s="1"/>
  <c r="L7" i="1"/>
  <c r="M7" i="1"/>
  <c r="J8" i="1"/>
  <c r="K8" i="1" s="1"/>
  <c r="L8" i="1"/>
  <c r="M8" i="1"/>
  <c r="J9" i="1"/>
  <c r="K9" i="1" s="1"/>
  <c r="L9" i="1"/>
  <c r="M9" i="1"/>
  <c r="J10" i="1"/>
  <c r="K10" i="1" s="1"/>
  <c r="L10" i="1"/>
  <c r="M10" i="1"/>
  <c r="J11" i="1"/>
  <c r="K11" i="1" s="1"/>
  <c r="L11" i="1"/>
  <c r="M11" i="1"/>
  <c r="M48" i="1"/>
  <c r="L48" i="1"/>
  <c r="J48" i="1"/>
  <c r="K48" i="1" s="1"/>
  <c r="J300" i="1" l="1"/>
  <c r="K300" i="1" s="1"/>
  <c r="L300" i="1"/>
  <c r="M300" i="1"/>
  <c r="J301" i="1"/>
  <c r="K301" i="1" s="1"/>
  <c r="L301" i="1"/>
  <c r="M301" i="1"/>
  <c r="J302" i="1"/>
  <c r="K302" i="1" s="1"/>
  <c r="L302" i="1"/>
  <c r="M302" i="1"/>
  <c r="J303" i="1"/>
  <c r="K303" i="1" s="1"/>
  <c r="L303" i="1"/>
  <c r="M303" i="1"/>
  <c r="J304" i="1"/>
  <c r="K304" i="1" s="1"/>
  <c r="L304" i="1"/>
  <c r="M304" i="1"/>
  <c r="J307" i="1"/>
  <c r="K307" i="1" s="1"/>
  <c r="L307" i="1"/>
  <c r="M307" i="1"/>
  <c r="J306" i="1"/>
  <c r="K306" i="1" s="1"/>
  <c r="L306" i="1"/>
  <c r="M306" i="1"/>
  <c r="J305" i="1"/>
  <c r="K305" i="1" s="1"/>
  <c r="L305" i="1"/>
  <c r="M305" i="1"/>
  <c r="M3" i="1" l="1"/>
  <c r="M4" i="1"/>
  <c r="M5" i="1"/>
  <c r="M6" i="1"/>
  <c r="M291" i="1"/>
  <c r="M292" i="1"/>
  <c r="M293" i="1"/>
  <c r="M294" i="1"/>
  <c r="M295" i="1"/>
  <c r="M296" i="1"/>
  <c r="M297" i="1"/>
  <c r="M298" i="1"/>
  <c r="M299" i="1"/>
  <c r="M168" i="1"/>
  <c r="M222" i="1"/>
  <c r="M223" i="1"/>
  <c r="M224" i="1"/>
  <c r="M225" i="1"/>
  <c r="M169" i="1"/>
  <c r="M170" i="1"/>
  <c r="M171" i="1"/>
  <c r="M226" i="1"/>
  <c r="M227" i="1"/>
  <c r="M228" i="1"/>
  <c r="M182" i="1"/>
  <c r="M183" i="1"/>
  <c r="M184" i="1"/>
  <c r="M185" i="1"/>
  <c r="M164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165" i="1"/>
  <c r="M161" i="1"/>
  <c r="M172" i="1"/>
  <c r="M229" i="1"/>
  <c r="M230" i="1"/>
  <c r="M231" i="1"/>
  <c r="M173" i="1"/>
  <c r="M174" i="1"/>
  <c r="M232" i="1"/>
  <c r="M233" i="1"/>
  <c r="M234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166" i="1"/>
  <c r="M162" i="1"/>
  <c r="M175" i="1"/>
  <c r="M235" i="1"/>
  <c r="M236" i="1"/>
  <c r="M176" i="1"/>
  <c r="M177" i="1"/>
  <c r="M237" i="1"/>
  <c r="M238" i="1"/>
  <c r="M239" i="1"/>
  <c r="M215" i="1"/>
  <c r="M216" i="1"/>
  <c r="M217" i="1"/>
  <c r="M218" i="1"/>
  <c r="M219" i="1"/>
  <c r="M220" i="1"/>
  <c r="M221" i="1"/>
  <c r="M163" i="1"/>
  <c r="M179" i="1"/>
  <c r="M167" i="1"/>
  <c r="M158" i="1"/>
  <c r="M159" i="1"/>
  <c r="M160" i="1"/>
  <c r="M178" i="1"/>
  <c r="M180" i="1"/>
  <c r="M181" i="1"/>
  <c r="M2" i="1"/>
  <c r="L3" i="1"/>
  <c r="L4" i="1"/>
  <c r="L5" i="1"/>
  <c r="L6" i="1"/>
  <c r="L291" i="1"/>
  <c r="L292" i="1"/>
  <c r="L293" i="1"/>
  <c r="L294" i="1"/>
  <c r="L295" i="1"/>
  <c r="L296" i="1"/>
  <c r="L297" i="1"/>
  <c r="L298" i="1"/>
  <c r="L299" i="1"/>
  <c r="L168" i="1"/>
  <c r="L222" i="1"/>
  <c r="L223" i="1"/>
  <c r="L224" i="1"/>
  <c r="L225" i="1"/>
  <c r="L169" i="1"/>
  <c r="L170" i="1"/>
  <c r="L171" i="1"/>
  <c r="L226" i="1"/>
  <c r="L227" i="1"/>
  <c r="L228" i="1"/>
  <c r="L182" i="1"/>
  <c r="L183" i="1"/>
  <c r="L184" i="1"/>
  <c r="L185" i="1"/>
  <c r="L164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165" i="1"/>
  <c r="L161" i="1"/>
  <c r="L172" i="1"/>
  <c r="L229" i="1"/>
  <c r="L230" i="1"/>
  <c r="L231" i="1"/>
  <c r="L173" i="1"/>
  <c r="L174" i="1"/>
  <c r="L232" i="1"/>
  <c r="L233" i="1"/>
  <c r="L234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166" i="1"/>
  <c r="L162" i="1"/>
  <c r="L175" i="1"/>
  <c r="L235" i="1"/>
  <c r="L236" i="1"/>
  <c r="L176" i="1"/>
  <c r="L177" i="1"/>
  <c r="L237" i="1"/>
  <c r="L238" i="1"/>
  <c r="L239" i="1"/>
  <c r="L215" i="1"/>
  <c r="L216" i="1"/>
  <c r="L217" i="1"/>
  <c r="L218" i="1"/>
  <c r="L219" i="1"/>
  <c r="L220" i="1"/>
  <c r="L221" i="1"/>
  <c r="L163" i="1"/>
  <c r="L179" i="1"/>
  <c r="L167" i="1"/>
  <c r="L158" i="1"/>
  <c r="L159" i="1"/>
  <c r="L160" i="1"/>
  <c r="L178" i="1"/>
  <c r="L180" i="1"/>
  <c r="L181" i="1"/>
  <c r="L2" i="1"/>
  <c r="J3" i="1"/>
  <c r="K3" i="1" s="1"/>
  <c r="J4" i="1"/>
  <c r="K4" i="1" s="1"/>
  <c r="J5" i="1"/>
  <c r="K5" i="1" s="1"/>
  <c r="J6" i="1"/>
  <c r="K6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168" i="1"/>
  <c r="K168" i="1" s="1"/>
  <c r="J222" i="1"/>
  <c r="K222" i="1" s="1"/>
  <c r="J223" i="1"/>
  <c r="K223" i="1" s="1"/>
  <c r="J224" i="1"/>
  <c r="K224" i="1" s="1"/>
  <c r="J225" i="1"/>
  <c r="K225" i="1" s="1"/>
  <c r="J169" i="1"/>
  <c r="K169" i="1" s="1"/>
  <c r="J170" i="1"/>
  <c r="K170" i="1" s="1"/>
  <c r="J171" i="1"/>
  <c r="K171" i="1" s="1"/>
  <c r="J226" i="1"/>
  <c r="K226" i="1" s="1"/>
  <c r="J227" i="1"/>
  <c r="K227" i="1" s="1"/>
  <c r="J228" i="1"/>
  <c r="K228" i="1" s="1"/>
  <c r="J182" i="1"/>
  <c r="K182" i="1" s="1"/>
  <c r="J183" i="1"/>
  <c r="K183" i="1" s="1"/>
  <c r="J184" i="1"/>
  <c r="K184" i="1" s="1"/>
  <c r="J185" i="1"/>
  <c r="K185" i="1" s="1"/>
  <c r="J164" i="1"/>
  <c r="K164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165" i="1"/>
  <c r="K165" i="1" s="1"/>
  <c r="J161" i="1"/>
  <c r="K161" i="1" s="1"/>
  <c r="J172" i="1"/>
  <c r="K172" i="1" s="1"/>
  <c r="J229" i="1"/>
  <c r="K229" i="1" s="1"/>
  <c r="J230" i="1"/>
  <c r="K230" i="1" s="1"/>
  <c r="J231" i="1"/>
  <c r="K231" i="1" s="1"/>
  <c r="J173" i="1"/>
  <c r="K173" i="1" s="1"/>
  <c r="J174" i="1"/>
  <c r="K174" i="1" s="1"/>
  <c r="J232" i="1"/>
  <c r="K232" i="1" s="1"/>
  <c r="J233" i="1"/>
  <c r="K233" i="1" s="1"/>
  <c r="J234" i="1"/>
  <c r="K234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166" i="1"/>
  <c r="K166" i="1" s="1"/>
  <c r="J162" i="1"/>
  <c r="K162" i="1" s="1"/>
  <c r="J175" i="1"/>
  <c r="K175" i="1" s="1"/>
  <c r="J235" i="1"/>
  <c r="K235" i="1" s="1"/>
  <c r="J236" i="1"/>
  <c r="K236" i="1" s="1"/>
  <c r="J176" i="1"/>
  <c r="K176" i="1" s="1"/>
  <c r="J177" i="1"/>
  <c r="K177" i="1" s="1"/>
  <c r="J237" i="1"/>
  <c r="K237" i="1" s="1"/>
  <c r="J238" i="1"/>
  <c r="K238" i="1" s="1"/>
  <c r="J239" i="1"/>
  <c r="K239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163" i="1"/>
  <c r="K163" i="1" s="1"/>
  <c r="J179" i="1"/>
  <c r="K179" i="1" s="1"/>
  <c r="J167" i="1"/>
  <c r="K167" i="1" s="1"/>
  <c r="J158" i="1"/>
  <c r="K158" i="1" s="1"/>
  <c r="J159" i="1"/>
  <c r="K159" i="1" s="1"/>
  <c r="J160" i="1"/>
  <c r="K160" i="1" s="1"/>
  <c r="J178" i="1"/>
  <c r="K178" i="1" s="1"/>
  <c r="J180" i="1"/>
  <c r="K180" i="1" s="1"/>
  <c r="J181" i="1"/>
  <c r="K181" i="1" s="1"/>
  <c r="J2" i="1"/>
  <c r="K2" i="1" s="1"/>
  <c r="H17" i="10"/>
  <c r="G17" i="10"/>
  <c r="I17" i="10"/>
  <c r="K7" i="10"/>
  <c r="K5" i="10"/>
  <c r="K6" i="10"/>
  <c r="K10" i="10" l="1"/>
  <c r="K9" i="10"/>
  <c r="K8" i="10"/>
  <c r="K11" i="10" l="1"/>
  <c r="K12" i="10"/>
  <c r="K13" i="10"/>
</calcChain>
</file>

<file path=xl/sharedStrings.xml><?xml version="1.0" encoding="utf-8"?>
<sst xmlns="http://schemas.openxmlformats.org/spreadsheetml/2006/main" count="2453" uniqueCount="128">
  <si>
    <t>Route</t>
  </si>
  <si>
    <t>Type</t>
  </si>
  <si>
    <t>Day of Service</t>
  </si>
  <si>
    <t>Total Cost</t>
  </si>
  <si>
    <t>Passenger Trips</t>
  </si>
  <si>
    <t>Fare Revenue</t>
  </si>
  <si>
    <t>In-Service Hours</t>
  </si>
  <si>
    <t>Weekday</t>
  </si>
  <si>
    <t>MY RIDE</t>
  </si>
  <si>
    <t>Weekday/Sat</t>
  </si>
  <si>
    <t>Provider</t>
  </si>
  <si>
    <t>MVTA</t>
  </si>
  <si>
    <t>Maple Grove</t>
  </si>
  <si>
    <t>Commuter &amp; Express Bus</t>
  </si>
  <si>
    <t>General DAR</t>
  </si>
  <si>
    <t>Saturday</t>
  </si>
  <si>
    <t>Sunday</t>
  </si>
  <si>
    <t>Plymouth</t>
  </si>
  <si>
    <t>Click &amp; Ride</t>
  </si>
  <si>
    <t>New variation created March 2022 that combines 476/478</t>
  </si>
  <si>
    <t>Consolidated into Route 472</t>
  </si>
  <si>
    <t>498 is "Southdale LINK" route - Service restored &amp; route extended (Southdale) - December 2022</t>
  </si>
  <si>
    <t>30-minute frequency as of December 2022</t>
  </si>
  <si>
    <t>Weekend service added May 2022</t>
  </si>
  <si>
    <t>State Fair</t>
  </si>
  <si>
    <t>All Days</t>
  </si>
  <si>
    <t>Sunday / Holiday</t>
  </si>
  <si>
    <t>Transit Link</t>
  </si>
  <si>
    <t>Subsidy per Passenger</t>
  </si>
  <si>
    <t>Metro Vanpool</t>
  </si>
  <si>
    <t>Commuter Vanpool</t>
  </si>
  <si>
    <t>Metro Mobility</t>
  </si>
  <si>
    <t>ADA Dial-a-Ride</t>
  </si>
  <si>
    <t>Metro Transit micro</t>
  </si>
  <si>
    <t>Metro Transit</t>
  </si>
  <si>
    <t>Core Local</t>
  </si>
  <si>
    <t>Supporting Local</t>
  </si>
  <si>
    <t>Suburban Local</t>
  </si>
  <si>
    <t>Blue Line</t>
  </si>
  <si>
    <t>Green Line</t>
  </si>
  <si>
    <t>MTS</t>
  </si>
  <si>
    <t>BRT - HIghway</t>
  </si>
  <si>
    <t>Light Rail</t>
  </si>
  <si>
    <t>Commuter Rail</t>
  </si>
  <si>
    <t>Comments</t>
  </si>
  <si>
    <t>Total Subsidy</t>
  </si>
  <si>
    <t>Farebox Recovery %</t>
  </si>
  <si>
    <t>Pass per In-Service Hr</t>
  </si>
  <si>
    <t>NTD Mode</t>
  </si>
  <si>
    <t>Bus (MB)</t>
  </si>
  <si>
    <t>Demand Response (DR)</t>
  </si>
  <si>
    <t>Vanpool (VP)</t>
  </si>
  <si>
    <t>Special Event</t>
  </si>
  <si>
    <t>SW Prime</t>
  </si>
  <si>
    <t>Demand Response</t>
  </si>
  <si>
    <t>Weekdays</t>
  </si>
  <si>
    <t>SW Transit</t>
  </si>
  <si>
    <t>BRT</t>
  </si>
  <si>
    <t>NS Rail</t>
  </si>
  <si>
    <t>Lt. Rail</t>
  </si>
  <si>
    <t>Sub Loc</t>
  </si>
  <si>
    <t>Cost per in-service hour</t>
  </si>
  <si>
    <t>Seasonal route - May to November
Burnsville Transit Station added to route for 2023 season</t>
  </si>
  <si>
    <t>Trips restored - March 2022
Weekday local service reductions (6 EB/5WB trips cut) - September 2023</t>
  </si>
  <si>
    <t>Two trips restored (weekend) - Feb 2023
Weekend service suspended - September 2023</t>
  </si>
  <si>
    <t>425 is "Orange LINK" route
Orange LINK extension to serve Cliff Road corridor (from Blackhawk P&amp;R) and CR 42 corridor (to Apple Valley Transit Station) - December 2023</t>
  </si>
  <si>
    <t>All day service began May 2022 (w/ Ecolab routing)
11 NB/9SB trips cut - September 2023</t>
  </si>
  <si>
    <t>4 trips NB cut and 2 trips SB cut - September 2023</t>
  </si>
  <si>
    <t>Weekend service suspended - September 2023</t>
  </si>
  <si>
    <t>Trips restored; slight re-route - March 2022
2 NB trips and 4 SB trips cut - September 2023</t>
  </si>
  <si>
    <t>3 EB and 2 WB trips cut - September 2023</t>
  </si>
  <si>
    <t>2 NB and 1 SB trip cut - September 2023</t>
  </si>
  <si>
    <t>Frequency reduction to every other hour - September 2023</t>
  </si>
  <si>
    <t>Downtown routing changed to utilize 3rd/4th St instead of Washington Ave - June 2023</t>
  </si>
  <si>
    <t>Downtown routing changed to utilize 3rd/4th St instead of Washington Ave - June 2023
3 Southbound evening trips on 475X added to increase span of service - September 2023</t>
  </si>
  <si>
    <t>Service restored May 2022
Service Suspended - September 2023</t>
  </si>
  <si>
    <t>3 Southbound trips added - June 2023
3 Southbound evening trips added on 490U to increase span of service- September 2023</t>
  </si>
  <si>
    <t>Service extended to MSP Airport Terminal 1 on 495V pattern, serving airport every two hours - December 2023</t>
  </si>
  <si>
    <t>Reduced frequency to every two hours, except hourly during 11 to 5 - September 2023</t>
  </si>
  <si>
    <t>Reduced frequency to every two hours - September 2023</t>
  </si>
  <si>
    <t>Connect</t>
  </si>
  <si>
    <t>Table 1</t>
  </si>
  <si>
    <t xml:space="preserve">Route </t>
  </si>
  <si>
    <t>Fare Revenues</t>
  </si>
  <si>
    <t>Net Subsidy</t>
  </si>
  <si>
    <t>Total Passenger Trips</t>
  </si>
  <si>
    <t>Annual Hours</t>
  </si>
  <si>
    <t>Subsidy compared to peer average and review level</t>
  </si>
  <si>
    <t>Passengers per Hour</t>
  </si>
  <si>
    <t>Comment</t>
  </si>
  <si>
    <t>Route Level Subsidy per Pass</t>
  </si>
  <si>
    <t>Average</t>
  </si>
  <si>
    <t>Tier 1</t>
  </si>
  <si>
    <t>Tier 2</t>
  </si>
  <si>
    <t>Tier 3</t>
  </si>
  <si>
    <t>2022 Commuter &amp; Express Subsidy per Passenger and Productivity</t>
  </si>
  <si>
    <t>Table 2</t>
  </si>
  <si>
    <t>2022 Core Local Bus Subsidy per Passenger and Productivity</t>
  </si>
  <si>
    <t>Table 3</t>
  </si>
  <si>
    <t>2022 Supporting Local Bus Subsidy per Passenger and Productivity</t>
  </si>
  <si>
    <t>Table 4</t>
  </si>
  <si>
    <t>2022 Suburban Local Bus Subsidy per Passenger and Productivity</t>
  </si>
  <si>
    <t>Table 5</t>
  </si>
  <si>
    <t>2022 Arterial BRT Subsidy per Passenger and Productivity</t>
  </si>
  <si>
    <t>BRT - Arterial</t>
  </si>
  <si>
    <t>Table 6</t>
  </si>
  <si>
    <t>2022 Highway BRT Subsidy per Passenger and Productivity</t>
  </si>
  <si>
    <t>Table 7</t>
  </si>
  <si>
    <t>2022 Light Rail Subsidy per Passenger and Productivity</t>
  </si>
  <si>
    <t>Table 8</t>
  </si>
  <si>
    <t>2021 Commuter Rail Subsidy per Passenger and Productivity</t>
  </si>
  <si>
    <t>Table 9</t>
  </si>
  <si>
    <t>2022 General Demand Response Subsidy per Passenger and Productivity</t>
  </si>
  <si>
    <t>Table 10</t>
  </si>
  <si>
    <t>Table 11</t>
  </si>
  <si>
    <t>Vanpool</t>
  </si>
  <si>
    <t>2022 Vanpool Subsidy per Passenger and Productivity</t>
  </si>
  <si>
    <t>2022 ADA Dial-a-Ride Subsidy per Passenger and Productivity</t>
  </si>
  <si>
    <t>December 2022 service only. Fares collected by Metro Transit and reflected in their values.</t>
  </si>
  <si>
    <t>Pass per IS Hour</t>
  </si>
  <si>
    <t>MVTA Connect</t>
  </si>
  <si>
    <t>Special</t>
  </si>
  <si>
    <t>System Level Subsidy per Pass</t>
  </si>
  <si>
    <t>Count of Routes</t>
  </si>
  <si>
    <t>Weekday/Saturday</t>
  </si>
  <si>
    <t>Weekday includes all routes showing Weekday, All Days, and Weekday/Saturday for service days.</t>
  </si>
  <si>
    <t>Annual In-Service Hours</t>
  </si>
  <si>
    <t>Began service September 2022. Fares collected by Metro Transit and reflected in their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</si>
</sst>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"/>
    <numFmt numFmtId="167" formatCode="0.0%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0" borderId="0"/>
  </cellStyleXfs>
  <cellXfs count="189">
    <xf numFmtId="0" fontId="0" fillId="0" borderId="0" xfId="0"/>
    <xf numFmtId="168" fontId="0" fillId="0" borderId="0" xfId="4" applyNumberFormat="1" applyFont="1"/>
    <xf numFmtId="43" fontId="0" fillId="0" borderId="0" xfId="0" applyNumberFormat="1"/>
    <xf numFmtId="0" fontId="5" fillId="0" borderId="0" xfId="0" applyFont="1"/>
    <xf numFmtId="0" fontId="3" fillId="0" borderId="0" xfId="0" applyFont="1"/>
    <xf numFmtId="166" fontId="3" fillId="0" borderId="0" xfId="0" applyNumberFormat="1" applyFont="1"/>
    <xf numFmtId="3" fontId="3" fillId="0" borderId="0" xfId="4" applyNumberFormat="1" applyFont="1" applyFill="1" applyAlignment="1"/>
    <xf numFmtId="168" fontId="0" fillId="0" borderId="0" xfId="4" applyNumberFormat="1" applyFont="1" applyAlignment="1"/>
    <xf numFmtId="166" fontId="0" fillId="0" borderId="0" xfId="0" applyNumberFormat="1"/>
    <xf numFmtId="164" fontId="0" fillId="0" borderId="0" xfId="0" applyNumberFormat="1"/>
    <xf numFmtId="167" fontId="0" fillId="0" borderId="0" xfId="5" applyNumberFormat="1" applyFont="1" applyBorder="1" applyAlignment="1"/>
    <xf numFmtId="165" fontId="0" fillId="0" borderId="0" xfId="0" applyNumberFormat="1"/>
    <xf numFmtId="3" fontId="0" fillId="0" borderId="0" xfId="4" applyNumberFormat="1" applyFont="1" applyFill="1" applyBorder="1" applyAlignment="1"/>
    <xf numFmtId="1" fontId="0" fillId="0" borderId="0" xfId="0" applyNumberFormat="1"/>
    <xf numFmtId="8" fontId="0" fillId="0" borderId="0" xfId="0" applyNumberFormat="1"/>
    <xf numFmtId="3" fontId="0" fillId="0" borderId="0" xfId="0" applyNumberFormat="1"/>
    <xf numFmtId="41" fontId="0" fillId="0" borderId="0" xfId="0" applyNumberFormat="1"/>
    <xf numFmtId="38" fontId="0" fillId="0" borderId="0" xfId="0" quotePrefix="1" applyNumberFormat="1"/>
    <xf numFmtId="38" fontId="0" fillId="0" borderId="0" xfId="0" applyNumberFormat="1"/>
    <xf numFmtId="166" fontId="1" fillId="0" borderId="0" xfId="1" applyNumberFormat="1" applyFont="1" applyFill="1" applyBorder="1" applyAlignment="1"/>
    <xf numFmtId="3" fontId="1" fillId="0" borderId="0" xfId="4" applyNumberFormat="1" applyFont="1" applyFill="1" applyBorder="1" applyAlignment="1"/>
    <xf numFmtId="44" fontId="0" fillId="0" borderId="0" xfId="1" applyFont="1" applyAlignment="1"/>
    <xf numFmtId="0" fontId="2" fillId="0" borderId="0" xfId="0" applyFont="1"/>
    <xf numFmtId="166" fontId="2" fillId="0" borderId="0" xfId="1" applyNumberFormat="1" applyFont="1" applyFill="1" applyBorder="1" applyAlignment="1"/>
    <xf numFmtId="3" fontId="2" fillId="0" borderId="0" xfId="4" applyNumberFormat="1" applyFont="1" applyFill="1" applyBorder="1" applyAlignment="1"/>
    <xf numFmtId="166" fontId="2" fillId="0" borderId="0" xfId="0" applyNumberFormat="1" applyFont="1"/>
    <xf numFmtId="166" fontId="2" fillId="0" borderId="0" xfId="2" applyNumberFormat="1" applyFont="1" applyFill="1" applyBorder="1" applyAlignment="1"/>
    <xf numFmtId="3" fontId="0" fillId="0" borderId="0" xfId="4" applyNumberFormat="1" applyFont="1" applyFill="1" applyAlignment="1"/>
    <xf numFmtId="38" fontId="0" fillId="0" borderId="0" xfId="0" applyNumberFormat="1" applyAlignment="1">
      <alignment horizontal="center"/>
    </xf>
    <xf numFmtId="168" fontId="0" fillId="0" borderId="0" xfId="4" applyNumberFormat="1" applyFont="1" applyAlignment="1">
      <alignment horizontal="center"/>
    </xf>
    <xf numFmtId="168" fontId="1" fillId="0" borderId="0" xfId="4" applyNumberFormat="1" applyFont="1" applyFill="1" applyAlignment="1">
      <alignment horizontal="center"/>
    </xf>
    <xf numFmtId="0" fontId="0" fillId="0" borderId="0" xfId="0" applyAlignment="1">
      <alignment wrapText="1"/>
    </xf>
    <xf numFmtId="0" fontId="10" fillId="0" borderId="0" xfId="13" applyFont="1" applyAlignment="1">
      <alignment wrapText="1"/>
    </xf>
    <xf numFmtId="0" fontId="11" fillId="0" borderId="0" xfId="13" applyFont="1"/>
    <xf numFmtId="0" fontId="12" fillId="0" borderId="2" xfId="0" applyFont="1" applyBorder="1" applyAlignment="1">
      <alignment horizontal="left" vertical="center"/>
    </xf>
    <xf numFmtId="0" fontId="11" fillId="0" borderId="0" xfId="13" applyFont="1" applyAlignment="1">
      <alignment horizontal="left"/>
    </xf>
    <xf numFmtId="0" fontId="13" fillId="4" borderId="3" xfId="0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38" fontId="13" fillId="4" borderId="4" xfId="0" applyNumberFormat="1" applyFont="1" applyFill="1" applyBorder="1" applyAlignment="1">
      <alignment horizontal="center" vertical="center" wrapText="1"/>
    </xf>
    <xf numFmtId="169" fontId="13" fillId="4" borderId="4" xfId="11" applyNumberFormat="1" applyFont="1" applyFill="1" applyBorder="1" applyAlignment="1">
      <alignment horizontal="center" vertical="center"/>
    </xf>
    <xf numFmtId="169" fontId="13" fillId="4" borderId="4" xfId="11" applyNumberFormat="1" applyFont="1" applyFill="1" applyBorder="1" applyAlignment="1">
      <alignment horizontal="center" vertical="center" wrapText="1"/>
    </xf>
    <xf numFmtId="168" fontId="13" fillId="4" borderId="4" xfId="4" applyNumberFormat="1" applyFont="1" applyFill="1" applyBorder="1" applyAlignment="1">
      <alignment horizontal="center" vertical="center" wrapText="1"/>
    </xf>
    <xf numFmtId="40" fontId="13" fillId="4" borderId="4" xfId="0" applyNumberFormat="1" applyFont="1" applyFill="1" applyBorder="1" applyAlignment="1">
      <alignment horizontal="center" vertical="center" wrapText="1"/>
    </xf>
    <xf numFmtId="9" fontId="13" fillId="4" borderId="4" xfId="5" applyFont="1" applyFill="1" applyBorder="1" applyAlignment="1">
      <alignment horizontal="center" vertical="center" wrapText="1"/>
    </xf>
    <xf numFmtId="167" fontId="0" fillId="0" borderId="0" xfId="5" applyNumberFormat="1" applyFont="1" applyBorder="1"/>
    <xf numFmtId="0" fontId="0" fillId="0" borderId="5" xfId="0" applyBorder="1"/>
    <xf numFmtId="0" fontId="5" fillId="0" borderId="5" xfId="0" applyFont="1" applyBorder="1"/>
    <xf numFmtId="44" fontId="0" fillId="0" borderId="0" xfId="0" applyNumberFormat="1"/>
    <xf numFmtId="168" fontId="0" fillId="0" borderId="0" xfId="4" applyNumberFormat="1" applyFont="1" applyFill="1"/>
    <xf numFmtId="44" fontId="6" fillId="0" borderId="0" xfId="12" applyNumberFormat="1" applyFont="1" applyFill="1"/>
    <xf numFmtId="0" fontId="0" fillId="0" borderId="6" xfId="0" applyBorder="1"/>
    <xf numFmtId="164" fontId="0" fillId="0" borderId="6" xfId="0" applyNumberFormat="1" applyBorder="1"/>
    <xf numFmtId="167" fontId="0" fillId="0" borderId="6" xfId="5" applyNumberFormat="1" applyFont="1" applyBorder="1"/>
    <xf numFmtId="165" fontId="0" fillId="0" borderId="6" xfId="0" applyNumberFormat="1" applyBorder="1"/>
    <xf numFmtId="0" fontId="0" fillId="0" borderId="7" xfId="0" applyBorder="1"/>
    <xf numFmtId="0" fontId="13" fillId="4" borderId="3" xfId="0" applyFont="1" applyFill="1" applyBorder="1" applyAlignment="1">
      <alignment horizontal="center" vertical="center" wrapText="1"/>
    </xf>
    <xf numFmtId="0" fontId="0" fillId="0" borderId="2" xfId="0" applyBorder="1"/>
    <xf numFmtId="44" fontId="0" fillId="2" borderId="0" xfId="0" applyNumberFormat="1" applyFill="1"/>
    <xf numFmtId="44" fontId="0" fillId="5" borderId="0" xfId="0" applyNumberFormat="1" applyFill="1"/>
    <xf numFmtId="44" fontId="6" fillId="3" borderId="5" xfId="12" applyNumberFormat="1" applyFont="1" applyBorder="1"/>
    <xf numFmtId="0" fontId="0" fillId="0" borderId="9" xfId="0" applyBorder="1"/>
    <xf numFmtId="44" fontId="0" fillId="0" borderId="0" xfId="11" applyFont="1" applyBorder="1"/>
    <xf numFmtId="168" fontId="0" fillId="0" borderId="0" xfId="4" applyNumberFormat="1" applyFont="1" applyBorder="1"/>
    <xf numFmtId="168" fontId="0" fillId="0" borderId="0" xfId="4" applyNumberFormat="1" applyFont="1" applyBorder="1" applyAlignment="1">
      <alignment horizontal="center"/>
    </xf>
    <xf numFmtId="168" fontId="0" fillId="0" borderId="0" xfId="4" applyNumberFormat="1" applyFont="1" applyBorder="1" applyAlignment="1"/>
    <xf numFmtId="166" fontId="0" fillId="0" borderId="6" xfId="0" applyNumberFormat="1" applyBorder="1"/>
    <xf numFmtId="3" fontId="0" fillId="0" borderId="6" xfId="4" applyNumberFormat="1" applyFont="1" applyFill="1" applyBorder="1" applyAlignment="1"/>
    <xf numFmtId="38" fontId="13" fillId="4" borderId="10" xfId="0" applyNumberFormat="1" applyFont="1" applyFill="1" applyBorder="1" applyAlignment="1">
      <alignment horizontal="center" vertical="center"/>
    </xf>
    <xf numFmtId="170" fontId="0" fillId="0" borderId="0" xfId="0" applyNumberFormat="1"/>
    <xf numFmtId="0" fontId="13" fillId="4" borderId="4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4" fontId="0" fillId="0" borderId="6" xfId="11" applyFont="1" applyBorder="1"/>
    <xf numFmtId="170" fontId="0" fillId="0" borderId="6" xfId="0" applyNumberFormat="1" applyBorder="1"/>
    <xf numFmtId="9" fontId="0" fillId="0" borderId="0" xfId="5" applyFont="1" applyBorder="1"/>
    <xf numFmtId="9" fontId="0" fillId="0" borderId="6" xfId="5" applyFont="1" applyBorder="1"/>
    <xf numFmtId="43" fontId="0" fillId="0" borderId="6" xfId="0" applyNumberFormat="1" applyBorder="1"/>
    <xf numFmtId="0" fontId="13" fillId="4" borderId="11" xfId="0" applyFont="1" applyFill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  <xf numFmtId="38" fontId="13" fillId="4" borderId="12" xfId="0" applyNumberFormat="1" applyFont="1" applyFill="1" applyBorder="1" applyAlignment="1">
      <alignment horizontal="center" vertical="center" wrapText="1"/>
    </xf>
    <xf numFmtId="169" fontId="13" fillId="4" borderId="12" xfId="11" applyNumberFormat="1" applyFont="1" applyFill="1" applyBorder="1" applyAlignment="1">
      <alignment horizontal="center" vertical="center"/>
    </xf>
    <xf numFmtId="169" fontId="13" fillId="4" borderId="12" xfId="11" applyNumberFormat="1" applyFont="1" applyFill="1" applyBorder="1" applyAlignment="1">
      <alignment horizontal="center" vertical="center" wrapText="1"/>
    </xf>
    <xf numFmtId="168" fontId="13" fillId="4" borderId="12" xfId="4" applyNumberFormat="1" applyFont="1" applyFill="1" applyBorder="1" applyAlignment="1">
      <alignment horizontal="center" vertical="center" wrapText="1"/>
    </xf>
    <xf numFmtId="40" fontId="13" fillId="4" borderId="12" xfId="0" applyNumberFormat="1" applyFont="1" applyFill="1" applyBorder="1" applyAlignment="1">
      <alignment horizontal="center" vertical="center" wrapText="1"/>
    </xf>
    <xf numFmtId="9" fontId="13" fillId="4" borderId="12" xfId="5" applyFont="1" applyFill="1" applyBorder="1" applyAlignment="1">
      <alignment horizontal="center" vertical="center" wrapText="1"/>
    </xf>
    <xf numFmtId="38" fontId="13" fillId="4" borderId="13" xfId="0" applyNumberFormat="1" applyFont="1" applyFill="1" applyBorder="1" applyAlignment="1">
      <alignment horizontal="center" vertical="center"/>
    </xf>
    <xf numFmtId="164" fontId="0" fillId="0" borderId="14" xfId="0" applyNumberFormat="1" applyBorder="1"/>
    <xf numFmtId="167" fontId="0" fillId="0" borderId="14" xfId="5" applyNumberFormat="1" applyFont="1" applyFill="1" applyBorder="1"/>
    <xf numFmtId="165" fontId="0" fillId="0" borderId="14" xfId="0" applyNumberFormat="1" applyBorder="1"/>
    <xf numFmtId="167" fontId="0" fillId="0" borderId="0" xfId="5" applyNumberFormat="1" applyFont="1" applyFill="1" applyBorder="1"/>
    <xf numFmtId="167" fontId="0" fillId="0" borderId="6" xfId="5" applyNumberFormat="1" applyFont="1" applyFill="1" applyBorder="1"/>
    <xf numFmtId="0" fontId="0" fillId="0" borderId="15" xfId="0" applyBorder="1"/>
    <xf numFmtId="44" fontId="0" fillId="0" borderId="16" xfId="0" applyNumberFormat="1" applyBorder="1"/>
    <xf numFmtId="44" fontId="0" fillId="2" borderId="16" xfId="0" applyNumberFormat="1" applyFill="1" applyBorder="1"/>
    <xf numFmtId="44" fontId="0" fillId="5" borderId="16" xfId="0" applyNumberFormat="1" applyFill="1" applyBorder="1"/>
    <xf numFmtId="44" fontId="6" fillId="3" borderId="17" xfId="12" applyNumberFormat="1" applyFont="1" applyBorder="1"/>
    <xf numFmtId="0" fontId="0" fillId="0" borderId="18" xfId="0" applyBorder="1"/>
    <xf numFmtId="44" fontId="0" fillId="0" borderId="19" xfId="11" applyFont="1" applyBorder="1"/>
    <xf numFmtId="44" fontId="0" fillId="2" borderId="19" xfId="0" applyNumberFormat="1" applyFill="1" applyBorder="1"/>
    <xf numFmtId="44" fontId="0" fillId="5" borderId="19" xfId="0" applyNumberFormat="1" applyFill="1" applyBorder="1"/>
    <xf numFmtId="44" fontId="6" fillId="3" borderId="20" xfId="12" applyNumberFormat="1" applyFont="1" applyBorder="1"/>
    <xf numFmtId="170" fontId="0" fillId="0" borderId="0" xfId="4" applyNumberFormat="1" applyFont="1" applyBorder="1"/>
    <xf numFmtId="0" fontId="0" fillId="0" borderId="21" xfId="0" applyBorder="1"/>
    <xf numFmtId="1" fontId="0" fillId="0" borderId="21" xfId="0" applyNumberFormat="1" applyBorder="1"/>
    <xf numFmtId="164" fontId="0" fillId="0" borderId="21" xfId="0" applyNumberFormat="1" applyBorder="1"/>
    <xf numFmtId="3" fontId="0" fillId="0" borderId="21" xfId="0" applyNumberFormat="1" applyBorder="1"/>
    <xf numFmtId="41" fontId="0" fillId="0" borderId="21" xfId="0" applyNumberFormat="1" applyBorder="1"/>
    <xf numFmtId="9" fontId="0" fillId="0" borderId="21" xfId="0" applyNumberFormat="1" applyBorder="1"/>
    <xf numFmtId="43" fontId="0" fillId="0" borderId="21" xfId="0" applyNumberFormat="1" applyBorder="1"/>
    <xf numFmtId="0" fontId="0" fillId="0" borderId="22" xfId="0" applyBorder="1"/>
    <xf numFmtId="6" fontId="0" fillId="0" borderId="21" xfId="0" applyNumberFormat="1" applyBorder="1"/>
    <xf numFmtId="9" fontId="0" fillId="0" borderId="6" xfId="0" applyNumberFormat="1" applyBorder="1"/>
    <xf numFmtId="0" fontId="11" fillId="0" borderId="0" xfId="13" applyFont="1" applyAlignment="1">
      <alignment wrapText="1"/>
    </xf>
    <xf numFmtId="0" fontId="11" fillId="0" borderId="0" xfId="13" applyFont="1" applyAlignment="1">
      <alignment horizontal="left" wrapText="1"/>
    </xf>
    <xf numFmtId="38" fontId="13" fillId="4" borderId="1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0" fontId="0" fillId="0" borderId="7" xfId="0" applyBorder="1" applyAlignment="1">
      <alignment wrapText="1"/>
    </xf>
    <xf numFmtId="3" fontId="0" fillId="0" borderId="0" xfId="11" applyNumberFormat="1" applyFont="1" applyBorder="1"/>
    <xf numFmtId="3" fontId="0" fillId="0" borderId="6" xfId="0" applyNumberFormat="1" applyBorder="1"/>
    <xf numFmtId="166" fontId="0" fillId="0" borderId="0" xfId="11" applyNumberFormat="1" applyFont="1" applyBorder="1"/>
    <xf numFmtId="166" fontId="1" fillId="0" borderId="0" xfId="11" applyNumberFormat="1" applyFont="1" applyBorder="1"/>
    <xf numFmtId="166" fontId="0" fillId="0" borderId="6" xfId="11" applyNumberFormat="1" applyFont="1" applyBorder="1"/>
    <xf numFmtId="166" fontId="1" fillId="0" borderId="6" xfId="11" applyNumberFormat="1" applyFont="1" applyBorder="1"/>
    <xf numFmtId="41" fontId="0" fillId="0" borderId="6" xfId="0" applyNumberFormat="1" applyBorder="1"/>
    <xf numFmtId="3" fontId="0" fillId="0" borderId="14" xfId="0" applyNumberFormat="1" applyBorder="1"/>
    <xf numFmtId="166" fontId="0" fillId="0" borderId="14" xfId="0" applyNumberFormat="1" applyBorder="1"/>
    <xf numFmtId="168" fontId="5" fillId="0" borderId="0" xfId="4" applyNumberFormat="1" applyFont="1" applyBorder="1"/>
    <xf numFmtId="168" fontId="1" fillId="0" borderId="0" xfId="4" applyNumberFormat="1" applyFont="1" applyBorder="1"/>
    <xf numFmtId="0" fontId="0" fillId="0" borderId="23" xfId="0" applyBorder="1"/>
    <xf numFmtId="0" fontId="0" fillId="0" borderId="14" xfId="0" applyBorder="1"/>
    <xf numFmtId="3" fontId="0" fillId="0" borderId="14" xfId="4" applyNumberFormat="1" applyFont="1" applyFill="1" applyBorder="1" applyAlignment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14" xfId="0" applyNumberFormat="1" applyBorder="1"/>
    <xf numFmtId="41" fontId="0" fillId="0" borderId="14" xfId="0" applyNumberFormat="1" applyBorder="1"/>
    <xf numFmtId="167" fontId="0" fillId="0" borderId="14" xfId="5" applyNumberFormat="1" applyFont="1" applyBorder="1"/>
    <xf numFmtId="43" fontId="0" fillId="0" borderId="14" xfId="0" applyNumberFormat="1" applyBorder="1"/>
    <xf numFmtId="1" fontId="0" fillId="0" borderId="6" xfId="0" applyNumberFormat="1" applyBorder="1"/>
    <xf numFmtId="44" fontId="0" fillId="0" borderId="14" xfId="11" applyFont="1" applyBorder="1"/>
    <xf numFmtId="170" fontId="0" fillId="0" borderId="14" xfId="4" applyNumberFormat="1" applyFont="1" applyBorder="1"/>
    <xf numFmtId="170" fontId="0" fillId="0" borderId="6" xfId="4" applyNumberFormat="1" applyFont="1" applyBorder="1"/>
    <xf numFmtId="0" fontId="2" fillId="0" borderId="14" xfId="0" applyFont="1" applyBorder="1"/>
    <xf numFmtId="168" fontId="0" fillId="0" borderId="6" xfId="4" applyNumberFormat="1" applyFont="1" applyBorder="1" applyAlignment="1"/>
    <xf numFmtId="3" fontId="0" fillId="0" borderId="14" xfId="1" applyNumberFormat="1" applyFont="1" applyFill="1" applyBorder="1" applyAlignment="1"/>
    <xf numFmtId="3" fontId="0" fillId="0" borderId="0" xfId="2" applyNumberFormat="1" applyFont="1" applyFill="1" applyBorder="1" applyAlignment="1"/>
    <xf numFmtId="9" fontId="0" fillId="0" borderId="0" xfId="0" applyNumberFormat="1"/>
    <xf numFmtId="9" fontId="0" fillId="0" borderId="14" xfId="0" applyNumberFormat="1" applyBorder="1"/>
    <xf numFmtId="166" fontId="0" fillId="0" borderId="21" xfId="0" applyNumberFormat="1" applyBorder="1"/>
    <xf numFmtId="0" fontId="13" fillId="4" borderId="26" xfId="0" applyFont="1" applyFill="1" applyBorder="1" applyAlignment="1">
      <alignment horizontal="center" vertical="center"/>
    </xf>
    <xf numFmtId="1" fontId="13" fillId="4" borderId="27" xfId="0" applyNumberFormat="1" applyFont="1" applyFill="1" applyBorder="1" applyAlignment="1">
      <alignment horizontal="center" vertical="center"/>
    </xf>
    <xf numFmtId="38" fontId="13" fillId="4" borderId="27" xfId="0" applyNumberFormat="1" applyFont="1" applyFill="1" applyBorder="1" applyAlignment="1">
      <alignment horizontal="center" vertical="center" wrapText="1"/>
    </xf>
    <xf numFmtId="169" fontId="13" fillId="4" borderId="27" xfId="11" applyNumberFormat="1" applyFont="1" applyFill="1" applyBorder="1" applyAlignment="1">
      <alignment horizontal="center" vertical="center"/>
    </xf>
    <xf numFmtId="169" fontId="13" fillId="4" borderId="27" xfId="11" applyNumberFormat="1" applyFont="1" applyFill="1" applyBorder="1" applyAlignment="1">
      <alignment horizontal="center" vertical="center" wrapText="1"/>
    </xf>
    <xf numFmtId="168" fontId="13" fillId="4" borderId="27" xfId="4" applyNumberFormat="1" applyFont="1" applyFill="1" applyBorder="1" applyAlignment="1">
      <alignment horizontal="center" vertical="center" wrapText="1"/>
    </xf>
    <xf numFmtId="40" fontId="13" fillId="4" borderId="27" xfId="0" applyNumberFormat="1" applyFont="1" applyFill="1" applyBorder="1" applyAlignment="1">
      <alignment horizontal="center" vertical="center" wrapText="1"/>
    </xf>
    <xf numFmtId="9" fontId="13" fillId="4" borderId="27" xfId="5" applyFont="1" applyFill="1" applyBorder="1" applyAlignment="1">
      <alignment horizontal="center" vertical="center" wrapText="1"/>
    </xf>
    <xf numFmtId="38" fontId="13" fillId="4" borderId="28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6" borderId="25" xfId="0" applyFill="1" applyBorder="1"/>
    <xf numFmtId="0" fontId="0" fillId="6" borderId="30" xfId="0" applyFill="1" applyBorder="1"/>
    <xf numFmtId="0" fontId="0" fillId="0" borderId="26" xfId="0" applyBorder="1"/>
    <xf numFmtId="168" fontId="0" fillId="0" borderId="14" xfId="4" applyNumberFormat="1" applyFont="1" applyBorder="1" applyAlignment="1"/>
    <xf numFmtId="169" fontId="0" fillId="0" borderId="0" xfId="11" applyNumberFormat="1" applyFont="1"/>
    <xf numFmtId="169" fontId="1" fillId="0" borderId="0" xfId="11" applyNumberFormat="1" applyFont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0" xfId="4" applyNumberFormat="1" applyFont="1" applyFill="1" applyBorder="1" applyAlignment="1"/>
    <xf numFmtId="0" fontId="0" fillId="0" borderId="0" xfId="0" applyAlignment="1">
      <alignment horizontal="center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34" xfId="0" applyBorder="1"/>
    <xf numFmtId="44" fontId="0" fillId="0" borderId="35" xfId="0" applyNumberFormat="1" applyBorder="1"/>
    <xf numFmtId="44" fontId="0" fillId="2" borderId="35" xfId="0" applyNumberFormat="1" applyFill="1" applyBorder="1"/>
    <xf numFmtId="44" fontId="0" fillId="5" borderId="35" xfId="0" applyNumberFormat="1" applyFill="1" applyBorder="1"/>
    <xf numFmtId="44" fontId="6" fillId="3" borderId="36" xfId="12" applyNumberFormat="1" applyFont="1" applyBorder="1"/>
    <xf numFmtId="0" fontId="13" fillId="4" borderId="8" xfId="0" applyFont="1" applyFill="1" applyBorder="1" applyAlignment="1">
      <alignment horizontal="center" vertical="center" wrapText="1"/>
    </xf>
    <xf numFmtId="44" fontId="0" fillId="0" borderId="31" xfId="0" applyNumberFormat="1" applyBorder="1"/>
    <xf numFmtId="44" fontId="0" fillId="0" borderId="37" xfId="0" applyNumberFormat="1" applyBorder="1"/>
    <xf numFmtId="0" fontId="13" fillId="4" borderId="38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6" xfId="11" applyFont="1" applyBorder="1"/>
    <xf numFmtId="0" fontId="11" fillId="0" borderId="0" xfId="13" applyFont="1" applyAlignment="1">
      <alignment horizontal="left"/>
    </xf>
    <xf numFmtId="0" fontId="0" fillId="0" borderId="39" xfId="0" applyBorder="1"/>
    <xf numFmtId="44" fontId="0" fillId="0" borderId="1" xfId="0" applyNumberFormat="1" applyBorder="1"/>
    <xf numFmtId="44" fontId="0" fillId="2" borderId="1" xfId="0" applyNumberFormat="1" applyFill="1" applyBorder="1"/>
    <xf numFmtId="44" fontId="0" fillId="5" borderId="1" xfId="0" applyNumberFormat="1" applyFill="1" applyBorder="1"/>
    <xf numFmtId="44" fontId="6" fillId="3" borderId="40" xfId="12" applyNumberFormat="1" applyFont="1" applyBorder="1"/>
  </cellXfs>
  <cellStyles count="14">
    <cellStyle name="Bad" xfId="12" builtinId="27"/>
    <cellStyle name="Comma" xfId="4" builtinId="3"/>
    <cellStyle name="Comma 2" xfId="2" xr:uid="{D1291356-2CF8-4B3F-96C0-097DE07FEFE6}"/>
    <cellStyle name="Comma 2 2" xfId="8" xr:uid="{7DC4E1FB-3810-4861-9637-88E635C466BF}"/>
    <cellStyle name="Comma 3" xfId="3" xr:uid="{D5ADF4DA-1BFE-4026-B221-ACA4BBE30618}"/>
    <cellStyle name="Currency" xfId="11" builtinId="4"/>
    <cellStyle name="Currency 2" xfId="1" xr:uid="{DF5B7D01-3A8D-4028-915E-A9560AD2A06F}"/>
    <cellStyle name="Currency 85" xfId="10" xr:uid="{70326EF5-B639-41F1-8594-225E0690CFAF}"/>
    <cellStyle name="Normal" xfId="0" builtinId="0"/>
    <cellStyle name="Normal 2 2" xfId="6" xr:uid="{9F144BAE-6F55-427B-9C1E-AF17A3CF116A}"/>
    <cellStyle name="Normal 3 2" xfId="7" xr:uid="{302C9DE7-9A16-4076-860F-301B86C48CF8}"/>
    <cellStyle name="Normal_Raw - Rte-Year" xfId="13" xr:uid="{D73EAA97-7747-4E8D-AD78-8553A982DBB5}"/>
    <cellStyle name="Percent" xfId="5" builtinId="5"/>
    <cellStyle name="Percent 2" xfId="9" xr:uid="{FD1F2722-99BC-4A63-AB9E-1BEC38177F41}"/>
  </cellStyles>
  <dxfs count="5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C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30F2-5540-4846-ADF8-D32AEEFA229B}">
  <dimension ref="A1:Q117"/>
  <sheetViews>
    <sheetView workbookViewId="0">
      <selection activeCell="K71" sqref="K71"/>
    </sheetView>
  </sheetViews>
  <sheetFormatPr defaultRowHeight="15" x14ac:dyDescent="0.25"/>
  <cols>
    <col min="1" max="1" width="20.7109375" customWidth="1"/>
    <col min="2" max="2" width="10.7109375" customWidth="1"/>
    <col min="3" max="3" width="25.28515625" bestFit="1" customWidth="1"/>
    <col min="4" max="4" width="10.7109375" customWidth="1"/>
    <col min="5" max="6" width="13.85546875" customWidth="1"/>
    <col min="7" max="7" width="15" customWidth="1"/>
    <col min="8" max="10" width="12.5703125" bestFit="1" customWidth="1"/>
    <col min="11" max="11" width="14.140625" customWidth="1"/>
    <col min="12" max="12" width="11.7109375" customWidth="1"/>
    <col min="13" max="13" width="40.7109375" style="31" customWidth="1"/>
    <col min="14" max="14" width="16.42578125" bestFit="1" customWidth="1"/>
    <col min="15" max="15" width="20.85546875" bestFit="1" customWidth="1"/>
    <col min="16" max="16" width="26.7109375" bestFit="1" customWidth="1"/>
    <col min="17" max="17" width="19.7109375" bestFit="1" customWidth="1"/>
  </cols>
  <sheetData>
    <row r="1" spans="1:17" ht="18.75" x14ac:dyDescent="0.3">
      <c r="A1" s="32" t="s">
        <v>81</v>
      </c>
    </row>
    <row r="2" spans="1:17" ht="46.5" x14ac:dyDescent="0.7">
      <c r="A2" s="33" t="s">
        <v>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11"/>
    </row>
    <row r="3" spans="1:17" ht="15.75" thickBot="1" x14ac:dyDescent="0.3">
      <c r="E3" s="8"/>
      <c r="F3" s="8"/>
      <c r="G3" s="9"/>
      <c r="H3" s="12"/>
      <c r="I3" s="12"/>
      <c r="J3" s="9"/>
      <c r="K3" s="44"/>
    </row>
    <row r="4" spans="1:17" ht="48.75" thickBot="1" x14ac:dyDescent="0.3">
      <c r="A4" s="148" t="s">
        <v>10</v>
      </c>
      <c r="B4" s="149" t="s">
        <v>82</v>
      </c>
      <c r="C4" s="150" t="s">
        <v>1</v>
      </c>
      <c r="D4" s="150" t="s">
        <v>2</v>
      </c>
      <c r="E4" s="151" t="s">
        <v>3</v>
      </c>
      <c r="F4" s="152" t="s">
        <v>83</v>
      </c>
      <c r="G4" s="151" t="s">
        <v>84</v>
      </c>
      <c r="H4" s="153" t="s">
        <v>85</v>
      </c>
      <c r="I4" s="153" t="s">
        <v>126</v>
      </c>
      <c r="J4" s="154" t="s">
        <v>28</v>
      </c>
      <c r="K4" s="155" t="s">
        <v>87</v>
      </c>
      <c r="L4" s="155" t="s">
        <v>88</v>
      </c>
      <c r="M4" s="156" t="s">
        <v>89</v>
      </c>
    </row>
    <row r="5" spans="1:17" x14ac:dyDescent="0.25">
      <c r="A5" s="56" t="s">
        <v>34</v>
      </c>
      <c r="B5" s="13">
        <v>94</v>
      </c>
      <c r="C5" t="s">
        <v>13</v>
      </c>
      <c r="D5" s="13" t="s">
        <v>7</v>
      </c>
      <c r="E5" s="8">
        <v>2638205.2859394313</v>
      </c>
      <c r="F5" s="8">
        <v>348382.27294881898</v>
      </c>
      <c r="G5" s="8">
        <f t="shared" ref="G5:G36" si="0">+E5-F5</f>
        <v>2289823.0129906125</v>
      </c>
      <c r="H5" s="64">
        <v>176680.83130908449</v>
      </c>
      <c r="I5" s="64">
        <v>10253.919999999958</v>
      </c>
      <c r="J5" s="9">
        <f t="shared" ref="J5:J36" si="1">+G5/H5</f>
        <v>12.960223222998133</v>
      </c>
      <c r="K5" s="44">
        <f t="shared" ref="K5:K60" si="2">J5/$F$69</f>
        <v>0.18771994030464198</v>
      </c>
      <c r="L5" s="11">
        <f t="shared" ref="L5:L36" si="3">+H5/I5</f>
        <v>17.230564633728878</v>
      </c>
      <c r="M5" s="114"/>
    </row>
    <row r="6" spans="1:17" x14ac:dyDescent="0.25">
      <c r="A6" s="56" t="s">
        <v>34</v>
      </c>
      <c r="B6" s="13">
        <v>113</v>
      </c>
      <c r="C6" t="s">
        <v>13</v>
      </c>
      <c r="D6" s="13" t="s">
        <v>7</v>
      </c>
      <c r="E6" s="8">
        <v>516765.82420024992</v>
      </c>
      <c r="F6" s="8">
        <v>113142.35110411832</v>
      </c>
      <c r="G6" s="8">
        <f t="shared" si="0"/>
        <v>403623.47309613158</v>
      </c>
      <c r="H6" s="64">
        <v>30015.000360191236</v>
      </c>
      <c r="I6" s="64">
        <v>1501.0000000000011</v>
      </c>
      <c r="J6" s="9">
        <f t="shared" si="1"/>
        <v>13.447391912460398</v>
      </c>
      <c r="K6" s="44">
        <f t="shared" si="2"/>
        <v>0.19477624448479416</v>
      </c>
      <c r="L6" s="11">
        <f t="shared" si="3"/>
        <v>19.996669127375892</v>
      </c>
      <c r="M6" s="114"/>
    </row>
    <row r="7" spans="1:17" x14ac:dyDescent="0.25">
      <c r="A7" s="56" t="s">
        <v>34</v>
      </c>
      <c r="B7" s="13">
        <v>114</v>
      </c>
      <c r="C7" t="s">
        <v>13</v>
      </c>
      <c r="D7" s="13" t="s">
        <v>7</v>
      </c>
      <c r="E7" s="8">
        <v>603145.57253848587</v>
      </c>
      <c r="F7" s="8">
        <v>150765.77604045652</v>
      </c>
      <c r="G7" s="8">
        <f t="shared" si="0"/>
        <v>452379.79649802938</v>
      </c>
      <c r="H7" s="64">
        <v>39539.233452910921</v>
      </c>
      <c r="I7" s="64">
        <v>1566.9000000000005</v>
      </c>
      <c r="J7" s="9">
        <f t="shared" si="1"/>
        <v>11.441288993040018</v>
      </c>
      <c r="K7" s="44">
        <f t="shared" si="2"/>
        <v>0.16571922025003372</v>
      </c>
      <c r="L7" s="11">
        <f t="shared" si="3"/>
        <v>25.234050324150175</v>
      </c>
      <c r="M7" s="114"/>
    </row>
    <row r="8" spans="1:17" x14ac:dyDescent="0.25">
      <c r="A8" s="56" t="s">
        <v>34</v>
      </c>
      <c r="B8" s="13">
        <v>115</v>
      </c>
      <c r="C8" t="s">
        <v>13</v>
      </c>
      <c r="D8" s="13" t="s">
        <v>7</v>
      </c>
      <c r="E8" s="8">
        <v>30347.631479167914</v>
      </c>
      <c r="F8" s="8">
        <v>3537.9430975396922</v>
      </c>
      <c r="G8" s="8">
        <f t="shared" si="0"/>
        <v>26809.688381628221</v>
      </c>
      <c r="H8" s="64">
        <v>1464.377119002045</v>
      </c>
      <c r="I8" s="64">
        <v>103.39999999999985</v>
      </c>
      <c r="J8" s="9">
        <f t="shared" si="1"/>
        <v>18.307912650191295</v>
      </c>
      <c r="K8" s="44">
        <f t="shared" si="2"/>
        <v>0.26517755216576216</v>
      </c>
      <c r="L8" s="11">
        <f t="shared" si="3"/>
        <v>14.162254535803164</v>
      </c>
      <c r="M8" s="114"/>
    </row>
    <row r="9" spans="1:17" x14ac:dyDescent="0.25">
      <c r="A9" s="56" t="s">
        <v>34</v>
      </c>
      <c r="B9" s="13">
        <v>250</v>
      </c>
      <c r="C9" t="s">
        <v>13</v>
      </c>
      <c r="D9" s="13" t="s">
        <v>7</v>
      </c>
      <c r="E9" s="8">
        <v>909629.08150853321</v>
      </c>
      <c r="F9" s="8">
        <v>554148.9106370497</v>
      </c>
      <c r="G9" s="8">
        <f t="shared" si="0"/>
        <v>355480.17087148351</v>
      </c>
      <c r="H9" s="64">
        <v>73861.163501940187</v>
      </c>
      <c r="I9" s="64">
        <v>2559.5299999999957</v>
      </c>
      <c r="J9" s="9">
        <f t="shared" si="1"/>
        <v>4.8128157480506752</v>
      </c>
      <c r="K9" s="44">
        <f t="shared" si="2"/>
        <v>6.9710333639786848E-2</v>
      </c>
      <c r="L9" s="11">
        <f t="shared" si="3"/>
        <v>28.857315015624085</v>
      </c>
      <c r="M9" s="114"/>
    </row>
    <row r="10" spans="1:17" x14ac:dyDescent="0.25">
      <c r="A10" s="56" t="s">
        <v>34</v>
      </c>
      <c r="B10" s="13">
        <v>252</v>
      </c>
      <c r="C10" t="s">
        <v>13</v>
      </c>
      <c r="D10" s="13" t="s">
        <v>7</v>
      </c>
      <c r="E10" s="8">
        <v>213369.31432042213</v>
      </c>
      <c r="F10" s="8">
        <v>70575.097002005961</v>
      </c>
      <c r="G10" s="8">
        <f t="shared" si="0"/>
        <v>142794.21731841617</v>
      </c>
      <c r="H10" s="64">
        <v>13936.286767128579</v>
      </c>
      <c r="I10" s="64">
        <v>503.20999999999975</v>
      </c>
      <c r="J10" s="9">
        <f t="shared" si="1"/>
        <v>10.246216923092016</v>
      </c>
      <c r="K10" s="44">
        <f t="shared" si="2"/>
        <v>0.1484094213545725</v>
      </c>
      <c r="L10" s="11">
        <f t="shared" si="3"/>
        <v>27.69477309101287</v>
      </c>
      <c r="M10" s="114"/>
      <c r="N10" s="3"/>
      <c r="O10" s="3"/>
      <c r="P10" s="3"/>
      <c r="Q10" s="3"/>
    </row>
    <row r="11" spans="1:17" x14ac:dyDescent="0.25">
      <c r="A11" s="56" t="s">
        <v>34</v>
      </c>
      <c r="B11" s="13">
        <v>264</v>
      </c>
      <c r="C11" t="s">
        <v>13</v>
      </c>
      <c r="D11" s="13" t="s">
        <v>7</v>
      </c>
      <c r="E11" s="8">
        <v>338597.73099790642</v>
      </c>
      <c r="F11" s="8">
        <v>84660.016003209035</v>
      </c>
      <c r="G11" s="8">
        <f t="shared" si="0"/>
        <v>253937.71499469737</v>
      </c>
      <c r="H11" s="64">
        <v>14621.69515305057</v>
      </c>
      <c r="I11" s="64">
        <v>1099.3000000000004</v>
      </c>
      <c r="J11" s="9">
        <f t="shared" si="1"/>
        <v>17.367187069395133</v>
      </c>
      <c r="K11" s="44">
        <f t="shared" si="2"/>
        <v>0.25155178763751407</v>
      </c>
      <c r="L11" s="11">
        <f t="shared" si="3"/>
        <v>13.300914357364292</v>
      </c>
      <c r="M11" s="114"/>
      <c r="N11" s="47"/>
      <c r="O11" s="48"/>
      <c r="P11" s="47"/>
      <c r="Q11" s="49"/>
    </row>
    <row r="12" spans="1:17" x14ac:dyDescent="0.25">
      <c r="A12" s="56" t="s">
        <v>34</v>
      </c>
      <c r="B12" s="13">
        <v>270</v>
      </c>
      <c r="C12" t="s">
        <v>13</v>
      </c>
      <c r="D12" s="13" t="s">
        <v>7</v>
      </c>
      <c r="E12" s="8">
        <v>766515.29583654576</v>
      </c>
      <c r="F12" s="8">
        <v>285995.14885208511</v>
      </c>
      <c r="G12" s="8">
        <f t="shared" si="0"/>
        <v>480520.14698446065</v>
      </c>
      <c r="H12" s="64">
        <v>40310.843507001016</v>
      </c>
      <c r="I12" s="64">
        <v>2205.2500000000068</v>
      </c>
      <c r="J12" s="9">
        <f t="shared" si="1"/>
        <v>11.920369438585574</v>
      </c>
      <c r="K12" s="44">
        <f t="shared" si="2"/>
        <v>0.17265837176706511</v>
      </c>
      <c r="L12" s="11">
        <f t="shared" si="3"/>
        <v>18.279489176737737</v>
      </c>
      <c r="M12" s="114"/>
    </row>
    <row r="13" spans="1:17" x14ac:dyDescent="0.25">
      <c r="A13" s="56" t="s">
        <v>34</v>
      </c>
      <c r="B13" s="13">
        <v>275</v>
      </c>
      <c r="C13" t="s">
        <v>13</v>
      </c>
      <c r="D13" s="13" t="s">
        <v>7</v>
      </c>
      <c r="E13" s="8">
        <v>390998.72436777572</v>
      </c>
      <c r="F13" s="8">
        <v>126160.70358229025</v>
      </c>
      <c r="G13" s="8">
        <f t="shared" si="0"/>
        <v>264838.02078548545</v>
      </c>
      <c r="H13" s="64">
        <v>17986.713931173719</v>
      </c>
      <c r="I13" s="64">
        <v>996.06999999999505</v>
      </c>
      <c r="J13" s="9">
        <f t="shared" si="1"/>
        <v>14.724091448771015</v>
      </c>
      <c r="K13" s="44">
        <f t="shared" si="2"/>
        <v>0.21326836121916559</v>
      </c>
      <c r="L13" s="11">
        <f t="shared" si="3"/>
        <v>18.057680615994666</v>
      </c>
      <c r="M13" s="114"/>
    </row>
    <row r="14" spans="1:17" x14ac:dyDescent="0.25">
      <c r="A14" s="56" t="s">
        <v>34</v>
      </c>
      <c r="B14" s="13">
        <v>294</v>
      </c>
      <c r="C14" t="s">
        <v>13</v>
      </c>
      <c r="D14" s="13" t="s">
        <v>7</v>
      </c>
      <c r="E14" s="8">
        <v>174255.83877367069</v>
      </c>
      <c r="F14" s="8">
        <v>38361.541242857951</v>
      </c>
      <c r="G14" s="8">
        <f t="shared" si="0"/>
        <v>135894.29753081274</v>
      </c>
      <c r="H14" s="64">
        <v>7350.2690711143559</v>
      </c>
      <c r="I14" s="64">
        <v>613.91999999999928</v>
      </c>
      <c r="J14" s="9">
        <f t="shared" si="1"/>
        <v>18.488343245128323</v>
      </c>
      <c r="K14" s="44">
        <f t="shared" si="2"/>
        <v>0.26779096552507886</v>
      </c>
      <c r="L14" s="11">
        <f t="shared" si="3"/>
        <v>11.972682224254568</v>
      </c>
      <c r="M14" s="114"/>
    </row>
    <row r="15" spans="1:17" x14ac:dyDescent="0.25">
      <c r="A15" s="56" t="s">
        <v>34</v>
      </c>
      <c r="B15" s="13">
        <v>353</v>
      </c>
      <c r="C15" t="s">
        <v>13</v>
      </c>
      <c r="D15" s="13" t="s">
        <v>7</v>
      </c>
      <c r="E15" s="8">
        <v>712349.52566598216</v>
      </c>
      <c r="F15" s="8">
        <v>364291.5081867798</v>
      </c>
      <c r="G15" s="8">
        <f t="shared" si="0"/>
        <v>348058.01747920236</v>
      </c>
      <c r="H15" s="64">
        <v>61234.721595024501</v>
      </c>
      <c r="I15" s="64">
        <v>1873.0499999999906</v>
      </c>
      <c r="J15" s="9">
        <f t="shared" si="1"/>
        <v>5.683997712622622</v>
      </c>
      <c r="K15" s="44">
        <f t="shared" si="2"/>
        <v>8.232880660665097E-2</v>
      </c>
      <c r="L15" s="11">
        <f t="shared" si="3"/>
        <v>32.692518403152512</v>
      </c>
      <c r="M15" s="114"/>
    </row>
    <row r="16" spans="1:17" x14ac:dyDescent="0.25">
      <c r="A16" s="56" t="s">
        <v>34</v>
      </c>
      <c r="B16" s="13">
        <v>363</v>
      </c>
      <c r="C16" t="s">
        <v>13</v>
      </c>
      <c r="D16" s="13" t="s">
        <v>7</v>
      </c>
      <c r="E16" s="8">
        <v>668021.52462899755</v>
      </c>
      <c r="F16" s="8">
        <v>176604.82139684397</v>
      </c>
      <c r="G16" s="8">
        <f t="shared" si="0"/>
        <v>491416.70323215355</v>
      </c>
      <c r="H16" s="64">
        <v>26540.652637074392</v>
      </c>
      <c r="I16" s="64">
        <v>1710.6299999999994</v>
      </c>
      <c r="J16" s="9">
        <f t="shared" si="1"/>
        <v>18.515622428428838</v>
      </c>
      <c r="K16" s="44">
        <f t="shared" si="2"/>
        <v>0.26818608577668418</v>
      </c>
      <c r="L16" s="11">
        <f t="shared" si="3"/>
        <v>15.515133393588561</v>
      </c>
      <c r="M16" s="114"/>
    </row>
    <row r="17" spans="1:13" x14ac:dyDescent="0.25">
      <c r="A17" s="56" t="s">
        <v>11</v>
      </c>
      <c r="B17">
        <v>460</v>
      </c>
      <c r="C17" t="s">
        <v>13</v>
      </c>
      <c r="D17" t="s">
        <v>7</v>
      </c>
      <c r="E17" s="8">
        <v>1520371.38227424</v>
      </c>
      <c r="F17" s="8">
        <v>203776.1721</v>
      </c>
      <c r="G17" s="8">
        <f t="shared" si="0"/>
        <v>1316595.2101742399</v>
      </c>
      <c r="H17" s="64">
        <v>81035</v>
      </c>
      <c r="I17" s="64">
        <v>4882.33</v>
      </c>
      <c r="J17" s="9">
        <f t="shared" si="1"/>
        <v>16.247241441034614</v>
      </c>
      <c r="K17" s="44">
        <f t="shared" si="2"/>
        <v>0.23533014369798577</v>
      </c>
      <c r="L17" s="11">
        <f t="shared" si="3"/>
        <v>16.597608109242923</v>
      </c>
      <c r="M17" s="114"/>
    </row>
    <row r="18" spans="1:13" ht="45" x14ac:dyDescent="0.25">
      <c r="A18" s="56" t="s">
        <v>11</v>
      </c>
      <c r="B18">
        <v>465</v>
      </c>
      <c r="C18" t="s">
        <v>13</v>
      </c>
      <c r="D18" t="s">
        <v>7</v>
      </c>
      <c r="E18" s="8">
        <v>1999401.2321731199</v>
      </c>
      <c r="F18" s="8">
        <v>233644.72010000001</v>
      </c>
      <c r="G18" s="8">
        <f t="shared" si="0"/>
        <v>1765756.5120731199</v>
      </c>
      <c r="H18" s="64">
        <v>102176</v>
      </c>
      <c r="I18" s="64">
        <v>9255.2099999999991</v>
      </c>
      <c r="J18" s="9">
        <f t="shared" si="1"/>
        <v>17.28151926159881</v>
      </c>
      <c r="K18" s="44">
        <f t="shared" si="2"/>
        <v>0.25031094822534883</v>
      </c>
      <c r="L18" s="11">
        <f t="shared" si="3"/>
        <v>11.039835941053743</v>
      </c>
      <c r="M18" s="114" t="s">
        <v>73</v>
      </c>
    </row>
    <row r="19" spans="1:13" x14ac:dyDescent="0.25">
      <c r="A19" s="56" t="s">
        <v>40</v>
      </c>
      <c r="B19">
        <v>467</v>
      </c>
      <c r="C19" t="s">
        <v>13</v>
      </c>
      <c r="D19" t="s">
        <v>7</v>
      </c>
      <c r="E19" s="8">
        <v>222250.42681137874</v>
      </c>
      <c r="F19" s="8">
        <v>3967.9798557801278</v>
      </c>
      <c r="G19" s="8">
        <f t="shared" si="0"/>
        <v>218282.4469555986</v>
      </c>
      <c r="H19" s="64">
        <v>1473</v>
      </c>
      <c r="I19" s="64">
        <v>755.30000000000007</v>
      </c>
      <c r="J19" s="9">
        <f t="shared" si="1"/>
        <v>148.18903391418777</v>
      </c>
      <c r="K19" s="44">
        <f t="shared" si="2"/>
        <v>2.1464164715010714</v>
      </c>
      <c r="L19" s="11">
        <f t="shared" si="3"/>
        <v>1.9502184562425524</v>
      </c>
      <c r="M19" s="114"/>
    </row>
    <row r="20" spans="1:13" x14ac:dyDescent="0.25">
      <c r="A20" s="56" t="s">
        <v>11</v>
      </c>
      <c r="B20">
        <v>470</v>
      </c>
      <c r="C20" t="s">
        <v>13</v>
      </c>
      <c r="D20" t="s">
        <v>7</v>
      </c>
      <c r="E20" s="8">
        <v>677687.7523392</v>
      </c>
      <c r="F20" s="8">
        <v>58793.065300000002</v>
      </c>
      <c r="G20" s="8">
        <f t="shared" si="0"/>
        <v>618894.68703919998</v>
      </c>
      <c r="H20" s="64">
        <v>21336</v>
      </c>
      <c r="I20" s="64">
        <v>2251.7000000000003</v>
      </c>
      <c r="J20" s="9">
        <f t="shared" si="1"/>
        <v>29.007062572140981</v>
      </c>
      <c r="K20" s="44">
        <f t="shared" si="2"/>
        <v>0.42014739721401662</v>
      </c>
      <c r="L20" s="11">
        <f t="shared" si="3"/>
        <v>9.4755073944131087</v>
      </c>
      <c r="M20" s="114"/>
    </row>
    <row r="21" spans="1:13" ht="30" x14ac:dyDescent="0.25">
      <c r="A21" s="56" t="s">
        <v>11</v>
      </c>
      <c r="B21">
        <v>472</v>
      </c>
      <c r="C21" t="s">
        <v>13</v>
      </c>
      <c r="D21" t="s">
        <v>7</v>
      </c>
      <c r="E21" s="8">
        <v>449506.02961279999</v>
      </c>
      <c r="F21" s="8">
        <v>36924.438900000001</v>
      </c>
      <c r="G21" s="8">
        <f t="shared" si="0"/>
        <v>412581.59071279998</v>
      </c>
      <c r="H21" s="64">
        <v>11453</v>
      </c>
      <c r="I21" s="64">
        <v>1457.56</v>
      </c>
      <c r="J21" s="9">
        <f t="shared" si="1"/>
        <v>36.023888126499607</v>
      </c>
      <c r="K21" s="44">
        <f t="shared" si="2"/>
        <v>0.52178130054485572</v>
      </c>
      <c r="L21" s="11">
        <f t="shared" si="3"/>
        <v>7.857652515162326</v>
      </c>
      <c r="M21" s="114" t="s">
        <v>19</v>
      </c>
    </row>
    <row r="22" spans="1:13" ht="90" x14ac:dyDescent="0.25">
      <c r="A22" s="56" t="s">
        <v>11</v>
      </c>
      <c r="B22">
        <v>475</v>
      </c>
      <c r="C22" t="s">
        <v>13</v>
      </c>
      <c r="D22" t="s">
        <v>7</v>
      </c>
      <c r="E22" s="8">
        <v>958959.30620415998</v>
      </c>
      <c r="F22" s="8">
        <v>92208.223299999998</v>
      </c>
      <c r="G22" s="8">
        <f t="shared" si="0"/>
        <v>866751.08290416002</v>
      </c>
      <c r="H22" s="64">
        <v>39933</v>
      </c>
      <c r="I22" s="64">
        <v>3811.7399999999993</v>
      </c>
      <c r="J22" s="9">
        <f t="shared" si="1"/>
        <v>21.705133170664865</v>
      </c>
      <c r="K22" s="44">
        <f t="shared" si="2"/>
        <v>0.3143839602909978</v>
      </c>
      <c r="L22" s="11">
        <f t="shared" si="3"/>
        <v>10.476317902060478</v>
      </c>
      <c r="M22" s="114" t="s">
        <v>74</v>
      </c>
    </row>
    <row r="23" spans="1:13" x14ac:dyDescent="0.25">
      <c r="A23" s="56" t="s">
        <v>11</v>
      </c>
      <c r="B23">
        <v>476</v>
      </c>
      <c r="C23" t="s">
        <v>13</v>
      </c>
      <c r="D23" t="s">
        <v>7</v>
      </c>
      <c r="E23" s="8">
        <v>153341.95663999999</v>
      </c>
      <c r="F23" s="8">
        <v>1065.96</v>
      </c>
      <c r="G23" s="8">
        <f t="shared" si="0"/>
        <v>152275.99664</v>
      </c>
      <c r="H23" s="64">
        <v>339</v>
      </c>
      <c r="I23" s="64">
        <v>155</v>
      </c>
      <c r="J23" s="9">
        <f t="shared" si="1"/>
        <v>449.19173050147492</v>
      </c>
      <c r="K23" s="44">
        <f t="shared" si="2"/>
        <v>6.5062339887359704</v>
      </c>
      <c r="L23" s="11">
        <f t="shared" si="3"/>
        <v>2.1870967741935483</v>
      </c>
      <c r="M23" s="114" t="s">
        <v>20</v>
      </c>
    </row>
    <row r="24" spans="1:13" x14ac:dyDescent="0.25">
      <c r="A24" s="56" t="s">
        <v>11</v>
      </c>
      <c r="B24">
        <v>477</v>
      </c>
      <c r="C24" t="s">
        <v>13</v>
      </c>
      <c r="D24" t="s">
        <v>7</v>
      </c>
      <c r="E24" s="8">
        <v>1338993.1709497599</v>
      </c>
      <c r="F24" s="8">
        <v>225334.95989999999</v>
      </c>
      <c r="G24" s="8">
        <f t="shared" si="0"/>
        <v>1113658.21104976</v>
      </c>
      <c r="H24" s="64">
        <v>86820</v>
      </c>
      <c r="I24" s="64">
        <v>5594.55</v>
      </c>
      <c r="J24" s="9">
        <f t="shared" si="1"/>
        <v>12.827208143858098</v>
      </c>
      <c r="K24" s="44">
        <f t="shared" si="2"/>
        <v>0.18579330815593981</v>
      </c>
      <c r="L24" s="11">
        <f t="shared" si="3"/>
        <v>15.518674424216425</v>
      </c>
      <c r="M24" s="114"/>
    </row>
    <row r="25" spans="1:13" x14ac:dyDescent="0.25">
      <c r="A25" s="56" t="s">
        <v>11</v>
      </c>
      <c r="B25">
        <v>478</v>
      </c>
      <c r="C25" t="s">
        <v>13</v>
      </c>
      <c r="D25" t="s">
        <v>7</v>
      </c>
      <c r="E25" s="8">
        <v>154546.4632</v>
      </c>
      <c r="F25" s="8">
        <v>847.13</v>
      </c>
      <c r="G25" s="8">
        <f t="shared" si="0"/>
        <v>153699.33319999999</v>
      </c>
      <c r="H25" s="64">
        <v>268</v>
      </c>
      <c r="I25" s="64">
        <v>169.99999999999997</v>
      </c>
      <c r="J25" s="9">
        <f t="shared" si="1"/>
        <v>573.50497462686565</v>
      </c>
      <c r="K25" s="44">
        <f t="shared" si="2"/>
        <v>8.3068260282993389</v>
      </c>
      <c r="L25" s="11">
        <f t="shared" si="3"/>
        <v>1.5764705882352943</v>
      </c>
      <c r="M25" s="114" t="s">
        <v>20</v>
      </c>
    </row>
    <row r="26" spans="1:13" ht="30" x14ac:dyDescent="0.25">
      <c r="A26" s="56" t="s">
        <v>11</v>
      </c>
      <c r="B26">
        <v>479</v>
      </c>
      <c r="C26" t="s">
        <v>13</v>
      </c>
      <c r="D26" t="s">
        <v>7</v>
      </c>
      <c r="E26" s="8">
        <v>227249.27465504</v>
      </c>
      <c r="F26" s="8">
        <v>2135.4209000000001</v>
      </c>
      <c r="G26" s="8">
        <f t="shared" si="0"/>
        <v>225113.85375504001</v>
      </c>
      <c r="H26" s="64">
        <v>860</v>
      </c>
      <c r="I26" s="64">
        <v>454.40999999999997</v>
      </c>
      <c r="J26" s="9">
        <f t="shared" si="1"/>
        <v>261.76029506399999</v>
      </c>
      <c r="K26" s="44">
        <f t="shared" si="2"/>
        <v>3.7914182586256699</v>
      </c>
      <c r="L26" s="11">
        <f t="shared" si="3"/>
        <v>1.8925639840672521</v>
      </c>
      <c r="M26" s="114" t="s">
        <v>75</v>
      </c>
    </row>
    <row r="27" spans="1:13" x14ac:dyDescent="0.25">
      <c r="A27" s="56" t="s">
        <v>11</v>
      </c>
      <c r="B27">
        <v>480</v>
      </c>
      <c r="C27" t="s">
        <v>13</v>
      </c>
      <c r="D27" t="s">
        <v>7</v>
      </c>
      <c r="E27" s="8">
        <v>735641.38096703996</v>
      </c>
      <c r="F27" s="8">
        <v>53994.6708</v>
      </c>
      <c r="G27" s="8">
        <f t="shared" si="0"/>
        <v>681646.71016704</v>
      </c>
      <c r="H27" s="64">
        <v>20627</v>
      </c>
      <c r="I27" s="64">
        <v>3008.2899999999991</v>
      </c>
      <c r="J27" s="9">
        <f t="shared" si="1"/>
        <v>33.046332969750324</v>
      </c>
      <c r="K27" s="44">
        <f t="shared" si="2"/>
        <v>0.47865345724606939</v>
      </c>
      <c r="L27" s="11">
        <f t="shared" si="3"/>
        <v>6.8567192657622789</v>
      </c>
      <c r="M27" s="114"/>
    </row>
    <row r="28" spans="1:13" x14ac:dyDescent="0.25">
      <c r="A28" s="56" t="s">
        <v>11</v>
      </c>
      <c r="B28">
        <v>484</v>
      </c>
      <c r="C28" t="s">
        <v>13</v>
      </c>
      <c r="D28" t="s">
        <v>7</v>
      </c>
      <c r="E28" s="8">
        <v>289153.68479968002</v>
      </c>
      <c r="F28" s="8">
        <v>9384.0580000000009</v>
      </c>
      <c r="G28" s="8">
        <f t="shared" si="0"/>
        <v>279769.62679968</v>
      </c>
      <c r="H28" s="64">
        <v>3790</v>
      </c>
      <c r="I28" s="64">
        <v>637.09000000000015</v>
      </c>
      <c r="J28" s="9">
        <f t="shared" si="1"/>
        <v>73.81784348276517</v>
      </c>
      <c r="K28" s="44">
        <f t="shared" si="2"/>
        <v>1.0692008103234256</v>
      </c>
      <c r="L28" s="11">
        <f t="shared" si="3"/>
        <v>5.9489240138755894</v>
      </c>
      <c r="M28" s="114"/>
    </row>
    <row r="29" spans="1:13" ht="45" x14ac:dyDescent="0.25">
      <c r="A29" s="56" t="s">
        <v>11</v>
      </c>
      <c r="B29">
        <v>490</v>
      </c>
      <c r="C29" t="s">
        <v>13</v>
      </c>
      <c r="D29" t="s">
        <v>7</v>
      </c>
      <c r="E29" s="8">
        <v>862301.26828384004</v>
      </c>
      <c r="F29" s="8">
        <v>51359.248299999999</v>
      </c>
      <c r="G29" s="8">
        <f t="shared" si="0"/>
        <v>810942.01998384006</v>
      </c>
      <c r="H29" s="64">
        <v>17913</v>
      </c>
      <c r="I29" s="64">
        <v>3409.1499999999996</v>
      </c>
      <c r="J29" s="9">
        <f t="shared" si="1"/>
        <v>45.271144977605097</v>
      </c>
      <c r="K29" s="44">
        <f t="shared" si="2"/>
        <v>0.6557214707257859</v>
      </c>
      <c r="L29" s="11">
        <f t="shared" si="3"/>
        <v>5.254388923925319</v>
      </c>
      <c r="M29" s="114" t="s">
        <v>76</v>
      </c>
    </row>
    <row r="30" spans="1:13" x14ac:dyDescent="0.25">
      <c r="A30" s="56" t="s">
        <v>11</v>
      </c>
      <c r="B30">
        <v>493</v>
      </c>
      <c r="C30" t="s">
        <v>13</v>
      </c>
      <c r="D30" t="s">
        <v>7</v>
      </c>
      <c r="E30" s="8">
        <v>425804.95403168001</v>
      </c>
      <c r="F30" s="8">
        <v>23882.282999999999</v>
      </c>
      <c r="G30" s="8">
        <f t="shared" si="0"/>
        <v>401922.67103168002</v>
      </c>
      <c r="H30" s="64">
        <v>10753</v>
      </c>
      <c r="I30" s="64">
        <v>1166.94</v>
      </c>
      <c r="J30" s="9">
        <f t="shared" si="1"/>
        <v>37.377724451937134</v>
      </c>
      <c r="K30" s="44">
        <f t="shared" si="2"/>
        <v>0.54139069073980306</v>
      </c>
      <c r="L30" s="11">
        <f t="shared" si="3"/>
        <v>9.2146982706908656</v>
      </c>
      <c r="M30" s="114"/>
    </row>
    <row r="31" spans="1:13" ht="45" x14ac:dyDescent="0.25">
      <c r="A31" s="56" t="s">
        <v>11</v>
      </c>
      <c r="B31">
        <v>495</v>
      </c>
      <c r="C31" t="s">
        <v>13</v>
      </c>
      <c r="D31" t="s">
        <v>7</v>
      </c>
      <c r="E31" s="8">
        <v>1364177.64841344</v>
      </c>
      <c r="F31" s="8">
        <v>142280.44569999998</v>
      </c>
      <c r="G31" s="8">
        <f t="shared" si="0"/>
        <v>1221897.2027134399</v>
      </c>
      <c r="H31" s="64">
        <v>57897</v>
      </c>
      <c r="I31" s="64">
        <v>7281.8099999999995</v>
      </c>
      <c r="J31" s="9">
        <f t="shared" si="1"/>
        <v>21.104672136957699</v>
      </c>
      <c r="K31" s="44">
        <f t="shared" si="2"/>
        <v>0.30568669424370076</v>
      </c>
      <c r="L31" s="11">
        <f t="shared" si="3"/>
        <v>7.9509078100087756</v>
      </c>
      <c r="M31" s="114" t="s">
        <v>77</v>
      </c>
    </row>
    <row r="32" spans="1:13" ht="45" x14ac:dyDescent="0.25">
      <c r="A32" s="56" t="s">
        <v>11</v>
      </c>
      <c r="B32">
        <v>498</v>
      </c>
      <c r="C32" t="s">
        <v>13</v>
      </c>
      <c r="D32" t="s">
        <v>7</v>
      </c>
      <c r="E32" s="8">
        <v>181093.7877824</v>
      </c>
      <c r="F32" s="8">
        <v>234.61850000000001</v>
      </c>
      <c r="G32" s="8">
        <f t="shared" si="0"/>
        <v>180859.16928239999</v>
      </c>
      <c r="H32" s="64">
        <v>139</v>
      </c>
      <c r="I32" s="64">
        <v>384.3</v>
      </c>
      <c r="J32" s="9">
        <f t="shared" si="1"/>
        <v>1301.1451027510791</v>
      </c>
      <c r="K32" s="44">
        <f t="shared" si="2"/>
        <v>18.84619399013765</v>
      </c>
      <c r="L32" s="11">
        <f t="shared" si="3"/>
        <v>0.36169659120478792</v>
      </c>
      <c r="M32" s="114" t="s">
        <v>21</v>
      </c>
    </row>
    <row r="33" spans="1:13" x14ac:dyDescent="0.25">
      <c r="A33" s="56" t="s">
        <v>34</v>
      </c>
      <c r="B33" s="13">
        <v>578</v>
      </c>
      <c r="C33" t="s">
        <v>13</v>
      </c>
      <c r="D33" s="13" t="s">
        <v>7</v>
      </c>
      <c r="E33" s="8">
        <v>201128.32909134642</v>
      </c>
      <c r="F33" s="8">
        <v>65080.955439950703</v>
      </c>
      <c r="G33" s="8">
        <f t="shared" si="0"/>
        <v>136047.37365139573</v>
      </c>
      <c r="H33" s="64">
        <v>9491.6446571927227</v>
      </c>
      <c r="I33" s="64">
        <v>546.09999999999741</v>
      </c>
      <c r="J33" s="9">
        <f t="shared" si="1"/>
        <v>14.333382523786295</v>
      </c>
      <c r="K33" s="44">
        <f t="shared" si="2"/>
        <v>0.20760921053845258</v>
      </c>
      <c r="L33" s="11">
        <f t="shared" si="3"/>
        <v>17.38078128033834</v>
      </c>
      <c r="M33" s="114"/>
    </row>
    <row r="34" spans="1:13" x14ac:dyDescent="0.25">
      <c r="A34" s="56" t="s">
        <v>56</v>
      </c>
      <c r="B34">
        <v>600</v>
      </c>
      <c r="C34" t="s">
        <v>13</v>
      </c>
      <c r="D34" t="s">
        <v>7</v>
      </c>
      <c r="E34" s="8">
        <v>589475.02005267399</v>
      </c>
      <c r="F34" s="8">
        <v>61033.440000000002</v>
      </c>
      <c r="G34" s="8">
        <f t="shared" si="0"/>
        <v>528441.58005267405</v>
      </c>
      <c r="H34" s="64">
        <v>6503</v>
      </c>
      <c r="I34" s="64">
        <v>1437.05</v>
      </c>
      <c r="J34" s="9">
        <f t="shared" si="1"/>
        <v>81.26119945450931</v>
      </c>
      <c r="K34" s="44">
        <f t="shared" si="2"/>
        <v>1.1770127140723161</v>
      </c>
      <c r="L34" s="11">
        <f t="shared" si="3"/>
        <v>4.5252426846665044</v>
      </c>
      <c r="M34" s="114"/>
    </row>
    <row r="35" spans="1:13" x14ac:dyDescent="0.25">
      <c r="A35" s="56" t="s">
        <v>34</v>
      </c>
      <c r="B35" s="13">
        <v>667</v>
      </c>
      <c r="C35" t="s">
        <v>13</v>
      </c>
      <c r="D35" s="13" t="s">
        <v>7</v>
      </c>
      <c r="E35" s="8">
        <v>326529.05182850844</v>
      </c>
      <c r="F35" s="8">
        <v>86715.239198274765</v>
      </c>
      <c r="G35" s="8">
        <f t="shared" si="0"/>
        <v>239813.81263023368</v>
      </c>
      <c r="H35" s="64">
        <v>13842.726419970515</v>
      </c>
      <c r="I35" s="64">
        <v>926.12000000000398</v>
      </c>
      <c r="J35" s="9">
        <f t="shared" si="1"/>
        <v>17.324174830491554</v>
      </c>
      <c r="K35" s="44">
        <f t="shared" si="2"/>
        <v>0.25092878487124837</v>
      </c>
      <c r="L35" s="11">
        <f t="shared" si="3"/>
        <v>14.947011639928363</v>
      </c>
      <c r="M35" s="114"/>
    </row>
    <row r="36" spans="1:13" x14ac:dyDescent="0.25">
      <c r="A36" s="56" t="s">
        <v>34</v>
      </c>
      <c r="B36" s="13">
        <v>673</v>
      </c>
      <c r="C36" t="s">
        <v>13</v>
      </c>
      <c r="D36" s="13" t="s">
        <v>7</v>
      </c>
      <c r="E36" s="8">
        <v>331678.28239086684</v>
      </c>
      <c r="F36" s="8">
        <v>131376.04764312095</v>
      </c>
      <c r="G36" s="8">
        <f t="shared" si="0"/>
        <v>200302.23474774588</v>
      </c>
      <c r="H36" s="64">
        <v>20178.549030326099</v>
      </c>
      <c r="I36" s="64">
        <v>1064.2699999999977</v>
      </c>
      <c r="J36" s="9">
        <f t="shared" si="1"/>
        <v>9.9264934483997855</v>
      </c>
      <c r="K36" s="44">
        <f t="shared" si="2"/>
        <v>0.14377844621236088</v>
      </c>
      <c r="L36" s="11">
        <f t="shared" si="3"/>
        <v>18.959990444460658</v>
      </c>
      <c r="M36" s="114"/>
    </row>
    <row r="37" spans="1:13" x14ac:dyDescent="0.25">
      <c r="A37" s="56" t="s">
        <v>56</v>
      </c>
      <c r="B37">
        <v>690</v>
      </c>
      <c r="C37" t="s">
        <v>13</v>
      </c>
      <c r="D37" t="s">
        <v>7</v>
      </c>
      <c r="E37" s="8">
        <v>467480.31249726366</v>
      </c>
      <c r="F37" s="8">
        <v>27666.35</v>
      </c>
      <c r="G37" s="8">
        <f t="shared" ref="G37:G65" si="4">+E37-F37</f>
        <v>439813.96249726368</v>
      </c>
      <c r="H37" s="64">
        <v>9521</v>
      </c>
      <c r="I37" s="64">
        <v>1061.8699999999999</v>
      </c>
      <c r="J37" s="9">
        <f t="shared" ref="J37:J65" si="5">+G37/H37</f>
        <v>46.194093319742009</v>
      </c>
      <c r="K37" s="44">
        <f t="shared" si="2"/>
        <v>0.66908974415048772</v>
      </c>
      <c r="L37" s="11">
        <f t="shared" ref="L37:L65" si="6">+H37/I37</f>
        <v>8.9662576398240841</v>
      </c>
      <c r="M37" s="114"/>
    </row>
    <row r="38" spans="1:13" x14ac:dyDescent="0.25">
      <c r="A38" s="56" t="s">
        <v>56</v>
      </c>
      <c r="B38">
        <v>695</v>
      </c>
      <c r="C38" t="s">
        <v>13</v>
      </c>
      <c r="D38" t="s">
        <v>7</v>
      </c>
      <c r="E38" s="8">
        <v>1266368.1493207754</v>
      </c>
      <c r="F38" s="8">
        <v>93458.66</v>
      </c>
      <c r="G38" s="8">
        <f t="shared" si="4"/>
        <v>1172909.4893207755</v>
      </c>
      <c r="H38" s="64">
        <v>31639</v>
      </c>
      <c r="I38" s="64">
        <v>2393.63</v>
      </c>
      <c r="J38" s="9">
        <f t="shared" si="5"/>
        <v>37.07163593415644</v>
      </c>
      <c r="K38" s="44">
        <f t="shared" si="2"/>
        <v>0.53695720859238394</v>
      </c>
      <c r="L38" s="11">
        <f t="shared" si="6"/>
        <v>13.217999440180813</v>
      </c>
      <c r="M38" s="114"/>
    </row>
    <row r="39" spans="1:13" x14ac:dyDescent="0.25">
      <c r="A39" s="56" t="s">
        <v>56</v>
      </c>
      <c r="B39">
        <v>698</v>
      </c>
      <c r="C39" t="s">
        <v>13</v>
      </c>
      <c r="D39" t="s">
        <v>7</v>
      </c>
      <c r="E39" s="8">
        <v>5650545.0083933007</v>
      </c>
      <c r="F39" s="8">
        <v>342354.25</v>
      </c>
      <c r="G39" s="8">
        <f t="shared" si="4"/>
        <v>5308190.7583933007</v>
      </c>
      <c r="H39" s="64">
        <v>115419</v>
      </c>
      <c r="I39" s="64">
        <v>11341.95</v>
      </c>
      <c r="J39" s="9">
        <f t="shared" si="5"/>
        <v>45.990614702893808</v>
      </c>
      <c r="K39" s="44">
        <f t="shared" si="2"/>
        <v>0.66614249600894071</v>
      </c>
      <c r="L39" s="11">
        <f t="shared" si="6"/>
        <v>10.176292436485788</v>
      </c>
      <c r="M39" s="114"/>
    </row>
    <row r="40" spans="1:13" x14ac:dyDescent="0.25">
      <c r="A40" s="56" t="s">
        <v>56</v>
      </c>
      <c r="B40">
        <v>699</v>
      </c>
      <c r="C40" t="s">
        <v>13</v>
      </c>
      <c r="D40" t="s">
        <v>7</v>
      </c>
      <c r="E40" s="8">
        <v>345648.34343252529</v>
      </c>
      <c r="F40" s="8">
        <v>22643.599999999999</v>
      </c>
      <c r="G40" s="8">
        <f t="shared" si="4"/>
        <v>323004.74343252531</v>
      </c>
      <c r="H40" s="64">
        <v>7655</v>
      </c>
      <c r="I40" s="64">
        <v>683.47</v>
      </c>
      <c r="J40" s="9">
        <f t="shared" si="5"/>
        <v>42.195263675052296</v>
      </c>
      <c r="K40" s="44">
        <f t="shared" si="2"/>
        <v>0.61116944067473222</v>
      </c>
      <c r="L40" s="11">
        <f t="shared" si="6"/>
        <v>11.200198984593325</v>
      </c>
      <c r="M40" s="114"/>
    </row>
    <row r="41" spans="1:13" ht="15.75" x14ac:dyDescent="0.25">
      <c r="A41" s="56" t="s">
        <v>17</v>
      </c>
      <c r="B41" s="22">
        <v>747</v>
      </c>
      <c r="C41" t="s">
        <v>13</v>
      </c>
      <c r="D41" s="22" t="s">
        <v>7</v>
      </c>
      <c r="E41" s="8">
        <v>873292.84624366974</v>
      </c>
      <c r="F41" s="8">
        <v>48274</v>
      </c>
      <c r="G41" s="8">
        <f t="shared" si="4"/>
        <v>825018.84624366974</v>
      </c>
      <c r="H41" s="64">
        <v>22336</v>
      </c>
      <c r="I41" s="64">
        <v>4525</v>
      </c>
      <c r="J41" s="9">
        <f t="shared" si="5"/>
        <v>36.936732013058283</v>
      </c>
      <c r="K41" s="44">
        <f t="shared" si="2"/>
        <v>0.53500321786400895</v>
      </c>
      <c r="L41" s="11">
        <f t="shared" si="6"/>
        <v>4.9361325966850833</v>
      </c>
      <c r="M41" s="114"/>
    </row>
    <row r="42" spans="1:13" x14ac:dyDescent="0.25">
      <c r="A42" s="56" t="s">
        <v>34</v>
      </c>
      <c r="B42" s="13">
        <v>755</v>
      </c>
      <c r="C42" t="s">
        <v>13</v>
      </c>
      <c r="D42" s="13" t="s">
        <v>7</v>
      </c>
      <c r="E42" s="8">
        <v>1101173.566185833</v>
      </c>
      <c r="F42" s="8">
        <v>100790.50523755493</v>
      </c>
      <c r="G42" s="8">
        <f t="shared" si="4"/>
        <v>1000383.0609482781</v>
      </c>
      <c r="H42" s="64">
        <v>39859.861608902036</v>
      </c>
      <c r="I42" s="64">
        <v>3906.3399999999915</v>
      </c>
      <c r="J42" s="9">
        <f t="shared" si="5"/>
        <v>25.09750462166329</v>
      </c>
      <c r="K42" s="44">
        <f t="shared" si="2"/>
        <v>0.3635201329722334</v>
      </c>
      <c r="L42" s="11">
        <f t="shared" si="6"/>
        <v>10.203889474265456</v>
      </c>
      <c r="M42" s="114"/>
    </row>
    <row r="43" spans="1:13" x14ac:dyDescent="0.25">
      <c r="A43" s="56" t="s">
        <v>34</v>
      </c>
      <c r="B43" s="13">
        <v>760</v>
      </c>
      <c r="C43" t="s">
        <v>13</v>
      </c>
      <c r="D43" s="13" t="s">
        <v>7</v>
      </c>
      <c r="E43" s="8">
        <v>399848.00084320316</v>
      </c>
      <c r="F43" s="8">
        <v>86641.149986488352</v>
      </c>
      <c r="G43" s="8">
        <f t="shared" si="4"/>
        <v>313206.85085671482</v>
      </c>
      <c r="H43" s="64">
        <v>17850.052749931605</v>
      </c>
      <c r="I43" s="64">
        <v>1248.6999999999939</v>
      </c>
      <c r="J43" s="9">
        <f t="shared" si="5"/>
        <v>17.54655043570753</v>
      </c>
      <c r="K43" s="44">
        <f t="shared" si="2"/>
        <v>0.25414974292251674</v>
      </c>
      <c r="L43" s="11">
        <f t="shared" si="6"/>
        <v>14.294908905206769</v>
      </c>
      <c r="M43" s="114"/>
    </row>
    <row r="44" spans="1:13" x14ac:dyDescent="0.25">
      <c r="A44" s="56" t="s">
        <v>34</v>
      </c>
      <c r="B44" s="13">
        <v>761</v>
      </c>
      <c r="C44" t="s">
        <v>13</v>
      </c>
      <c r="D44" s="13" t="s">
        <v>7</v>
      </c>
      <c r="E44" s="8">
        <v>181345.7796923932</v>
      </c>
      <c r="F44" s="8">
        <v>40954.460927588188</v>
      </c>
      <c r="G44" s="8">
        <f t="shared" si="4"/>
        <v>140391.31876480501</v>
      </c>
      <c r="H44" s="64">
        <v>9534.7454912767753</v>
      </c>
      <c r="I44" s="64">
        <v>589.87999999999988</v>
      </c>
      <c r="J44" s="9">
        <f t="shared" si="5"/>
        <v>14.724181037999111</v>
      </c>
      <c r="K44" s="44">
        <f t="shared" si="2"/>
        <v>0.21326965885765997</v>
      </c>
      <c r="L44" s="11">
        <f t="shared" si="6"/>
        <v>16.163873145854712</v>
      </c>
      <c r="M44" s="114"/>
    </row>
    <row r="45" spans="1:13" x14ac:dyDescent="0.25">
      <c r="A45" s="56" t="s">
        <v>34</v>
      </c>
      <c r="B45" s="13">
        <v>763</v>
      </c>
      <c r="C45" t="s">
        <v>13</v>
      </c>
      <c r="D45" s="13" t="s">
        <v>7</v>
      </c>
      <c r="E45" s="8">
        <v>139896.19672601501</v>
      </c>
      <c r="F45" s="8">
        <v>37018.563168802888</v>
      </c>
      <c r="G45" s="8">
        <f t="shared" si="4"/>
        <v>102877.63355721213</v>
      </c>
      <c r="H45" s="64">
        <v>6874.057416478372</v>
      </c>
      <c r="I45" s="64">
        <v>483.06000000000046</v>
      </c>
      <c r="J45" s="9">
        <f t="shared" si="5"/>
        <v>14.96607132064327</v>
      </c>
      <c r="K45" s="44">
        <f t="shared" si="2"/>
        <v>0.21677327362084228</v>
      </c>
      <c r="L45" s="11">
        <f t="shared" si="6"/>
        <v>14.230235201586481</v>
      </c>
      <c r="M45" s="114"/>
    </row>
    <row r="46" spans="1:13" x14ac:dyDescent="0.25">
      <c r="A46" s="56" t="s">
        <v>34</v>
      </c>
      <c r="B46" s="13">
        <v>764</v>
      </c>
      <c r="C46" t="s">
        <v>13</v>
      </c>
      <c r="D46" s="13" t="s">
        <v>7</v>
      </c>
      <c r="E46" s="8">
        <v>109387.14167514991</v>
      </c>
      <c r="F46" s="8">
        <v>40288.312988232072</v>
      </c>
      <c r="G46" s="8">
        <f t="shared" si="4"/>
        <v>69098.828686917841</v>
      </c>
      <c r="H46" s="64">
        <v>6391.5383227081356</v>
      </c>
      <c r="I46" s="64">
        <v>375.18000000000035</v>
      </c>
      <c r="J46" s="9">
        <f t="shared" si="5"/>
        <v>10.8109855872131</v>
      </c>
      <c r="K46" s="44">
        <f t="shared" si="2"/>
        <v>0.1565897079199004</v>
      </c>
      <c r="L46" s="11">
        <f t="shared" si="6"/>
        <v>17.035924949912388</v>
      </c>
      <c r="M46" s="114"/>
    </row>
    <row r="47" spans="1:13" x14ac:dyDescent="0.25">
      <c r="A47" s="56" t="s">
        <v>34</v>
      </c>
      <c r="B47" s="13">
        <v>766</v>
      </c>
      <c r="C47" t="s">
        <v>13</v>
      </c>
      <c r="D47" s="13" t="s">
        <v>7</v>
      </c>
      <c r="E47" s="8">
        <v>695127.98843823455</v>
      </c>
      <c r="F47" s="8">
        <v>132368.47817102843</v>
      </c>
      <c r="G47" s="8">
        <f t="shared" si="4"/>
        <v>562759.51026720612</v>
      </c>
      <c r="H47" s="64">
        <v>26842.358475662757</v>
      </c>
      <c r="I47" s="64">
        <v>2077.1200000000072</v>
      </c>
      <c r="J47" s="9">
        <f t="shared" si="5"/>
        <v>20.965352607798788</v>
      </c>
      <c r="K47" s="44">
        <f t="shared" si="2"/>
        <v>0.30366874646247943</v>
      </c>
      <c r="L47" s="11">
        <f t="shared" si="6"/>
        <v>12.922873245485414</v>
      </c>
      <c r="M47" s="114"/>
    </row>
    <row r="48" spans="1:13" x14ac:dyDescent="0.25">
      <c r="A48" s="56" t="s">
        <v>34</v>
      </c>
      <c r="B48" s="13">
        <v>768</v>
      </c>
      <c r="C48" t="s">
        <v>13</v>
      </c>
      <c r="D48" s="13" t="s">
        <v>7</v>
      </c>
      <c r="E48" s="8">
        <v>696626.14428342518</v>
      </c>
      <c r="F48" s="8">
        <v>327232.74253681808</v>
      </c>
      <c r="G48" s="8">
        <f t="shared" si="4"/>
        <v>369393.40174660709</v>
      </c>
      <c r="H48" s="64">
        <v>47873.463028968501</v>
      </c>
      <c r="I48" s="64">
        <v>1686.1399999999917</v>
      </c>
      <c r="J48" s="9">
        <f t="shared" si="5"/>
        <v>7.7160367847858655</v>
      </c>
      <c r="K48" s="44">
        <f t="shared" si="2"/>
        <v>0.11176149821695343</v>
      </c>
      <c r="L48" s="11">
        <f t="shared" si="6"/>
        <v>28.392341696993569</v>
      </c>
      <c r="M48" s="114"/>
    </row>
    <row r="49" spans="1:13" ht="15.75" x14ac:dyDescent="0.25">
      <c r="A49" s="56" t="s">
        <v>17</v>
      </c>
      <c r="B49" s="22">
        <v>774</v>
      </c>
      <c r="C49" t="s">
        <v>13</v>
      </c>
      <c r="D49" s="22" t="s">
        <v>7</v>
      </c>
      <c r="E49" s="8">
        <v>707636.04566639033</v>
      </c>
      <c r="F49" s="8">
        <v>72247</v>
      </c>
      <c r="G49" s="8">
        <f t="shared" si="4"/>
        <v>635389.04566639033</v>
      </c>
      <c r="H49" s="64">
        <v>33354</v>
      </c>
      <c r="I49" s="64">
        <v>3896</v>
      </c>
      <c r="J49" s="9">
        <f t="shared" si="5"/>
        <v>19.049860456508675</v>
      </c>
      <c r="K49" s="44">
        <f t="shared" si="2"/>
        <v>0.27592415702854778</v>
      </c>
      <c r="L49" s="11">
        <f t="shared" si="6"/>
        <v>8.5610882956878847</v>
      </c>
      <c r="M49" s="114"/>
    </row>
    <row r="50" spans="1:13" ht="15.75" x14ac:dyDescent="0.25">
      <c r="A50" s="56" t="s">
        <v>17</v>
      </c>
      <c r="B50" s="22">
        <v>776</v>
      </c>
      <c r="C50" t="s">
        <v>13</v>
      </c>
      <c r="D50" s="22" t="s">
        <v>7</v>
      </c>
      <c r="E50" s="8">
        <v>514262.51487256889</v>
      </c>
      <c r="F50" s="8">
        <v>27120</v>
      </c>
      <c r="G50" s="8">
        <f t="shared" si="4"/>
        <v>487142.51487256889</v>
      </c>
      <c r="H50" s="64">
        <v>12516</v>
      </c>
      <c r="I50" s="64">
        <v>2614</v>
      </c>
      <c r="J50" s="9">
        <f t="shared" si="5"/>
        <v>38.921581565401794</v>
      </c>
      <c r="K50" s="44">
        <f t="shared" si="2"/>
        <v>0.56375240166035301</v>
      </c>
      <c r="L50" s="11">
        <f t="shared" si="6"/>
        <v>4.7880642693190509</v>
      </c>
      <c r="M50" s="114"/>
    </row>
    <row r="51" spans="1:13" ht="15.75" x14ac:dyDescent="0.25">
      <c r="A51" s="56" t="s">
        <v>17</v>
      </c>
      <c r="B51" s="22">
        <v>777</v>
      </c>
      <c r="C51" t="s">
        <v>13</v>
      </c>
      <c r="D51" s="22" t="s">
        <v>7</v>
      </c>
      <c r="E51" s="8">
        <v>582169.02238552412</v>
      </c>
      <c r="F51" s="8">
        <v>27540</v>
      </c>
      <c r="G51" s="8">
        <f t="shared" si="4"/>
        <v>554629.02238552412</v>
      </c>
      <c r="H51" s="64">
        <v>12807</v>
      </c>
      <c r="I51" s="64">
        <v>2907</v>
      </c>
      <c r="J51" s="9">
        <f t="shared" si="5"/>
        <v>43.306709017375198</v>
      </c>
      <c r="K51" s="44">
        <f t="shared" si="2"/>
        <v>0.6272679638037546</v>
      </c>
      <c r="L51" s="11">
        <f t="shared" si="6"/>
        <v>4.4055727554179569</v>
      </c>
      <c r="M51" s="114"/>
    </row>
    <row r="52" spans="1:13" x14ac:dyDescent="0.25">
      <c r="A52" s="56" t="s">
        <v>12</v>
      </c>
      <c r="B52">
        <v>781</v>
      </c>
      <c r="C52" t="s">
        <v>13</v>
      </c>
      <c r="D52" t="s">
        <v>7</v>
      </c>
      <c r="E52" s="8">
        <v>1519044.197039031</v>
      </c>
      <c r="F52" s="8">
        <v>310134.1922835352</v>
      </c>
      <c r="G52" s="8">
        <f>+E52-F52</f>
        <v>1208910.0047554958</v>
      </c>
      <c r="H52" s="64">
        <v>109291</v>
      </c>
      <c r="I52" s="64">
        <v>5176.5999999999995</v>
      </c>
      <c r="J52" s="9">
        <f>+G52/H52</f>
        <v>11.061386616972081</v>
      </c>
      <c r="K52" s="44">
        <f t="shared" si="2"/>
        <v>0.16021659501511379</v>
      </c>
      <c r="L52" s="11">
        <f t="shared" si="6"/>
        <v>21.112506278252138</v>
      </c>
      <c r="M52" s="114"/>
    </row>
    <row r="53" spans="1:13" x14ac:dyDescent="0.25">
      <c r="A53" s="56" t="s">
        <v>12</v>
      </c>
      <c r="B53">
        <v>784</v>
      </c>
      <c r="C53" t="s">
        <v>13</v>
      </c>
      <c r="D53" t="s">
        <v>7</v>
      </c>
      <c r="E53" s="8">
        <v>67896.998861165761</v>
      </c>
      <c r="F53" s="8">
        <v>13862.125237257136</v>
      </c>
      <c r="G53" s="8">
        <f t="shared" si="4"/>
        <v>54034.873623908628</v>
      </c>
      <c r="H53" s="64">
        <v>4885</v>
      </c>
      <c r="I53" s="64">
        <v>550.70000000000005</v>
      </c>
      <c r="J53" s="9">
        <f t="shared" si="5"/>
        <v>11.061386616972083</v>
      </c>
      <c r="K53" s="44">
        <f t="shared" si="2"/>
        <v>0.16021659501511382</v>
      </c>
      <c r="L53" s="11">
        <f t="shared" si="6"/>
        <v>8.87052841837661</v>
      </c>
      <c r="M53" s="114"/>
    </row>
    <row r="54" spans="1:13" x14ac:dyDescent="0.25">
      <c r="A54" s="56" t="s">
        <v>12</v>
      </c>
      <c r="B54">
        <v>785</v>
      </c>
      <c r="C54" t="s">
        <v>13</v>
      </c>
      <c r="D54" t="s">
        <v>7</v>
      </c>
      <c r="E54" s="8">
        <v>185719.48798012215</v>
      </c>
      <c r="F54" s="8">
        <v>37917.240004141218</v>
      </c>
      <c r="G54" s="8">
        <f t="shared" si="4"/>
        <v>147802.24797598092</v>
      </c>
      <c r="H54" s="64">
        <v>13362</v>
      </c>
      <c r="I54" s="64">
        <v>993.69999999999993</v>
      </c>
      <c r="J54" s="9">
        <f t="shared" si="5"/>
        <v>11.061386616972079</v>
      </c>
      <c r="K54" s="44">
        <f t="shared" si="2"/>
        <v>0.16021659501511376</v>
      </c>
      <c r="L54" s="11">
        <f t="shared" si="6"/>
        <v>13.446714300090571</v>
      </c>
      <c r="M54" s="114"/>
    </row>
    <row r="55" spans="1:13" x14ac:dyDescent="0.25">
      <c r="A55" s="56" t="s">
        <v>12</v>
      </c>
      <c r="B55">
        <v>789</v>
      </c>
      <c r="C55" t="s">
        <v>13</v>
      </c>
      <c r="D55" t="s">
        <v>7</v>
      </c>
      <c r="E55" s="8">
        <v>241107.31611968111</v>
      </c>
      <c r="F55" s="8">
        <v>49225.442475066433</v>
      </c>
      <c r="G55" s="8">
        <f t="shared" si="4"/>
        <v>191881.87364461468</v>
      </c>
      <c r="H55" s="64">
        <v>17347</v>
      </c>
      <c r="I55" s="64">
        <v>594.80000000000007</v>
      </c>
      <c r="J55" s="9">
        <f t="shared" si="5"/>
        <v>11.061386616972081</v>
      </c>
      <c r="K55" s="44">
        <f t="shared" si="2"/>
        <v>0.16021659501511379</v>
      </c>
      <c r="L55" s="11">
        <f t="shared" si="6"/>
        <v>29.16442501681237</v>
      </c>
      <c r="M55" s="114"/>
    </row>
    <row r="56" spans="1:13" ht="15.75" x14ac:dyDescent="0.25">
      <c r="A56" s="56" t="s">
        <v>17</v>
      </c>
      <c r="B56" s="22">
        <v>790</v>
      </c>
      <c r="C56" t="s">
        <v>13</v>
      </c>
      <c r="D56" s="22" t="s">
        <v>7</v>
      </c>
      <c r="E56" s="8">
        <v>419550.72288028523</v>
      </c>
      <c r="F56" s="8">
        <v>32211</v>
      </c>
      <c r="G56" s="8">
        <f t="shared" si="4"/>
        <v>387339.72288028523</v>
      </c>
      <c r="H56" s="64">
        <v>14899</v>
      </c>
      <c r="I56" s="64">
        <v>2294</v>
      </c>
      <c r="J56" s="9">
        <f t="shared" si="5"/>
        <v>25.997699367761946</v>
      </c>
      <c r="K56" s="44">
        <f t="shared" si="2"/>
        <v>0.3765588361714442</v>
      </c>
      <c r="L56" s="11">
        <f t="shared" si="6"/>
        <v>6.4947689625108982</v>
      </c>
      <c r="M56" s="114"/>
    </row>
    <row r="57" spans="1:13" ht="15.75" x14ac:dyDescent="0.25">
      <c r="A57" s="56" t="s">
        <v>17</v>
      </c>
      <c r="B57" s="22">
        <v>795</v>
      </c>
      <c r="C57" t="s">
        <v>13</v>
      </c>
      <c r="D57" s="22" t="s">
        <v>7</v>
      </c>
      <c r="E57" s="8">
        <v>92172.393235416253</v>
      </c>
      <c r="F57" s="8">
        <v>7953</v>
      </c>
      <c r="G57" s="8">
        <f t="shared" si="4"/>
        <v>84219.393235416253</v>
      </c>
      <c r="H57" s="64">
        <v>3800</v>
      </c>
      <c r="I57" s="64">
        <v>461</v>
      </c>
      <c r="J57" s="9">
        <f t="shared" si="5"/>
        <v>22.162998219846383</v>
      </c>
      <c r="K57" s="44">
        <f t="shared" si="2"/>
        <v>0.32101582134933332</v>
      </c>
      <c r="L57" s="11">
        <f t="shared" si="6"/>
        <v>8.2429501084598691</v>
      </c>
      <c r="M57" s="114"/>
    </row>
    <row r="58" spans="1:13" x14ac:dyDescent="0.25">
      <c r="A58" s="56" t="s">
        <v>34</v>
      </c>
      <c r="B58" s="13">
        <v>824</v>
      </c>
      <c r="C58" t="s">
        <v>13</v>
      </c>
      <c r="D58" s="13" t="s">
        <v>7</v>
      </c>
      <c r="E58" s="8">
        <v>220958.03593821169</v>
      </c>
      <c r="F58" s="8">
        <v>46758.947554632243</v>
      </c>
      <c r="G58" s="8">
        <f t="shared" si="4"/>
        <v>174199.08838357945</v>
      </c>
      <c r="H58" s="64">
        <v>11228.292898823289</v>
      </c>
      <c r="I58" s="64">
        <v>704.729999999999</v>
      </c>
      <c r="J58" s="9">
        <f t="shared" si="5"/>
        <v>15.51429856285948</v>
      </c>
      <c r="K58" s="44">
        <f t="shared" si="2"/>
        <v>0.22471396904031501</v>
      </c>
      <c r="L58" s="11">
        <f t="shared" si="6"/>
        <v>15.932758501586855</v>
      </c>
      <c r="M58" s="114"/>
    </row>
    <row r="59" spans="1:13" x14ac:dyDescent="0.25">
      <c r="A59" s="56" t="s">
        <v>34</v>
      </c>
      <c r="B59" s="13">
        <v>850</v>
      </c>
      <c r="C59" t="s">
        <v>13</v>
      </c>
      <c r="D59" s="13" t="s">
        <v>7</v>
      </c>
      <c r="E59" s="8">
        <v>1155531.5936440281</v>
      </c>
      <c r="F59" s="8">
        <v>554583.65259583341</v>
      </c>
      <c r="G59" s="8">
        <f t="shared" si="4"/>
        <v>600947.94104819465</v>
      </c>
      <c r="H59" s="64">
        <v>80457.693596511497</v>
      </c>
      <c r="I59" s="64">
        <v>3233.719999999988</v>
      </c>
      <c r="J59" s="9">
        <f t="shared" si="5"/>
        <v>7.4691171743239071</v>
      </c>
      <c r="K59" s="44">
        <f t="shared" si="2"/>
        <v>0.10818503709136784</v>
      </c>
      <c r="L59" s="11">
        <f t="shared" si="6"/>
        <v>24.880847320272565</v>
      </c>
      <c r="M59" s="114"/>
    </row>
    <row r="60" spans="1:13" x14ac:dyDescent="0.25">
      <c r="A60" s="56" t="s">
        <v>34</v>
      </c>
      <c r="B60" s="13">
        <v>852</v>
      </c>
      <c r="C60" t="s">
        <v>13</v>
      </c>
      <c r="D60" s="13" t="s">
        <v>7</v>
      </c>
      <c r="E60" s="8">
        <v>2481615.3526526755</v>
      </c>
      <c r="F60" s="8">
        <v>202982.32737073788</v>
      </c>
      <c r="G60" s="8">
        <f t="shared" si="4"/>
        <v>2278633.0252819378</v>
      </c>
      <c r="H60" s="64">
        <v>84912.848105004436</v>
      </c>
      <c r="I60" s="64">
        <v>10012.199999999979</v>
      </c>
      <c r="J60" s="9">
        <f t="shared" si="5"/>
        <v>26.834961682879225</v>
      </c>
      <c r="K60" s="44">
        <f t="shared" si="2"/>
        <v>0.38868600629103289</v>
      </c>
      <c r="L60" s="11">
        <f t="shared" si="6"/>
        <v>8.4809380660598688</v>
      </c>
      <c r="M60" s="114"/>
    </row>
    <row r="61" spans="1:13" x14ac:dyDescent="0.25">
      <c r="A61" s="56" t="s">
        <v>40</v>
      </c>
      <c r="B61">
        <v>852</v>
      </c>
      <c r="C61" t="s">
        <v>13</v>
      </c>
      <c r="D61" t="s">
        <v>7</v>
      </c>
      <c r="E61" s="8">
        <v>59227.773731655951</v>
      </c>
      <c r="F61" s="8">
        <v>5872.1131649910976</v>
      </c>
      <c r="G61" s="8">
        <f t="shared" si="4"/>
        <v>53355.660566664854</v>
      </c>
      <c r="H61" s="64">
        <v>4008</v>
      </c>
      <c r="I61" s="64">
        <v>591.47</v>
      </c>
      <c r="J61" s="9">
        <f t="shared" si="5"/>
        <v>13.312290560545124</v>
      </c>
      <c r="K61" s="44">
        <f>J61/$F$69</f>
        <v>0.19281939410650686</v>
      </c>
      <c r="L61" s="11">
        <f t="shared" si="6"/>
        <v>6.7763369232589987</v>
      </c>
      <c r="M61" s="114"/>
    </row>
    <row r="62" spans="1:13" x14ac:dyDescent="0.25">
      <c r="A62" s="56" t="s">
        <v>11</v>
      </c>
      <c r="B62">
        <v>495</v>
      </c>
      <c r="C62" t="s">
        <v>13</v>
      </c>
      <c r="D62" t="s">
        <v>15</v>
      </c>
      <c r="E62" s="8">
        <v>404416.33161663997</v>
      </c>
      <c r="F62" s="8">
        <v>19118.3649</v>
      </c>
      <c r="G62" s="8">
        <f t="shared" si="4"/>
        <v>385297.96671663999</v>
      </c>
      <c r="H62" s="64">
        <v>10944</v>
      </c>
      <c r="I62" s="64">
        <v>1544.4</v>
      </c>
      <c r="J62" s="9">
        <f t="shared" si="5"/>
        <v>35.206320058172516</v>
      </c>
      <c r="K62" s="44">
        <f>J62/$F$70</f>
        <v>1.1487664040250745</v>
      </c>
      <c r="L62" s="11">
        <f t="shared" si="6"/>
        <v>7.0862470862470861</v>
      </c>
      <c r="M62" s="114"/>
    </row>
    <row r="63" spans="1:13" x14ac:dyDescent="0.25">
      <c r="A63" s="56" t="s">
        <v>34</v>
      </c>
      <c r="B63" s="13">
        <v>852</v>
      </c>
      <c r="C63" t="s">
        <v>13</v>
      </c>
      <c r="D63" s="13" t="s">
        <v>15</v>
      </c>
      <c r="E63" s="8">
        <v>222066.23596413573</v>
      </c>
      <c r="F63" s="8">
        <v>6852.2150596020601</v>
      </c>
      <c r="G63" s="8">
        <f t="shared" si="4"/>
        <v>215214.02090453368</v>
      </c>
      <c r="H63" s="64">
        <v>6692.1929214407883</v>
      </c>
      <c r="I63" s="64">
        <v>915.09000000000083</v>
      </c>
      <c r="J63" s="9">
        <f t="shared" si="5"/>
        <v>32.158968432458074</v>
      </c>
      <c r="K63" s="44">
        <f t="shared" ref="K63:K64" si="7">J63/$F$70</f>
        <v>1.0493326897633273</v>
      </c>
      <c r="L63" s="11">
        <f t="shared" si="6"/>
        <v>7.3131527187935417</v>
      </c>
      <c r="M63" s="115"/>
    </row>
    <row r="64" spans="1:13" x14ac:dyDescent="0.25">
      <c r="A64" s="56" t="s">
        <v>40</v>
      </c>
      <c r="B64">
        <v>852</v>
      </c>
      <c r="C64" t="s">
        <v>13</v>
      </c>
      <c r="D64" t="s">
        <v>15</v>
      </c>
      <c r="E64" s="8">
        <v>5331.6324189408779</v>
      </c>
      <c r="F64" s="8">
        <v>318.14674294855581</v>
      </c>
      <c r="G64" s="8">
        <f t="shared" si="4"/>
        <v>5013.4856759923223</v>
      </c>
      <c r="H64" s="64">
        <v>204</v>
      </c>
      <c r="I64" s="64">
        <v>56.519999999999996</v>
      </c>
      <c r="J64" s="9">
        <f t="shared" si="5"/>
        <v>24.575910176432952</v>
      </c>
      <c r="K64" s="44">
        <f t="shared" si="7"/>
        <v>0.80190090621159837</v>
      </c>
      <c r="L64" s="11">
        <f t="shared" si="6"/>
        <v>3.6093418259023355</v>
      </c>
      <c r="M64" s="114"/>
    </row>
    <row r="65" spans="1:13" ht="15.75" thickBot="1" x14ac:dyDescent="0.3">
      <c r="A65" s="60" t="s">
        <v>11</v>
      </c>
      <c r="B65" s="50">
        <v>495</v>
      </c>
      <c r="C65" s="50" t="s">
        <v>13</v>
      </c>
      <c r="D65" s="50" t="s">
        <v>16</v>
      </c>
      <c r="E65" s="121">
        <v>409675.66957055999</v>
      </c>
      <c r="F65" s="122">
        <v>17731.442800000001</v>
      </c>
      <c r="G65" s="65">
        <f t="shared" si="4"/>
        <v>391944.22677055997</v>
      </c>
      <c r="H65" s="142">
        <v>9798</v>
      </c>
      <c r="I65" s="142">
        <v>1573</v>
      </c>
      <c r="J65" s="51">
        <f t="shared" si="5"/>
        <v>40.002472624062051</v>
      </c>
      <c r="K65" s="52">
        <f>J65/$F$71</f>
        <v>1</v>
      </c>
      <c r="L65" s="53">
        <f t="shared" si="6"/>
        <v>6.2288620470438651</v>
      </c>
      <c r="M65" s="116"/>
    </row>
    <row r="66" spans="1:13" x14ac:dyDescent="0.25">
      <c r="E66" s="8"/>
      <c r="F66" s="8"/>
      <c r="G66" s="9"/>
      <c r="H66" s="9"/>
      <c r="I66" s="166"/>
      <c r="J66" s="9"/>
      <c r="K66" s="44"/>
    </row>
    <row r="67" spans="1:13" ht="15.75" thickBot="1" x14ac:dyDescent="0.3"/>
    <row r="68" spans="1:13" ht="36" x14ac:dyDescent="0.25">
      <c r="D68" s="168" t="s">
        <v>123</v>
      </c>
      <c r="E68" s="168" t="s">
        <v>90</v>
      </c>
      <c r="F68" s="178" t="s">
        <v>91</v>
      </c>
      <c r="G68" s="178" t="s">
        <v>92</v>
      </c>
      <c r="H68" s="178" t="s">
        <v>93</v>
      </c>
      <c r="I68" s="179" t="s">
        <v>94</v>
      </c>
      <c r="J68" s="175" t="s">
        <v>122</v>
      </c>
    </row>
    <row r="69" spans="1:13" x14ac:dyDescent="0.25">
      <c r="D69" s="164">
        <f>COUNTIF(D5:D65, "Weekday")</f>
        <v>57</v>
      </c>
      <c r="E69" s="170" t="s">
        <v>7</v>
      </c>
      <c r="F69" s="171">
        <f>AVERAGEIF($D$5:$D$65,"Weekday",$J$5:$J$65)</f>
        <v>69.04020532909604</v>
      </c>
      <c r="G69" s="172">
        <f>F69*1.2</f>
        <v>82.84824639491525</v>
      </c>
      <c r="H69" s="173">
        <f>F69*1.35</f>
        <v>93.204277194279655</v>
      </c>
      <c r="I69" s="174">
        <f>F69*1.6</f>
        <v>110.46432852655367</v>
      </c>
      <c r="J69" s="176">
        <f>+SUMIF($D$5:$D$65,"Weekday",$G$5:$G$65)/SUMIF($D$5:$D$65,"Weekday",$H$5:$H$65)</f>
        <v>19.74683504962498</v>
      </c>
    </row>
    <row r="70" spans="1:13" x14ac:dyDescent="0.25">
      <c r="D70" s="164">
        <f>COUNTIF(D5:D65, "Saturday")</f>
        <v>3</v>
      </c>
      <c r="E70" s="56" t="s">
        <v>15</v>
      </c>
      <c r="F70" s="47">
        <f>AVERAGEIF($D$5:$D$65,"Saturday",$J$5:$J$65)</f>
        <v>30.647066222354514</v>
      </c>
      <c r="G70" s="57">
        <f>F70*1.2</f>
        <v>36.776479466825414</v>
      </c>
      <c r="H70" s="58">
        <f>F70*1.35</f>
        <v>41.373539400178593</v>
      </c>
      <c r="I70" s="59">
        <f>F70*1.6</f>
        <v>49.035305955767228</v>
      </c>
      <c r="J70" s="176">
        <f>+SUMIF($D$5:$D$65,"Saturday",$G$5:$G$65)/SUMIF($D$5:$D$65,"Saturday",$H$5:$H$65)</f>
        <v>33.941643790714309</v>
      </c>
      <c r="L70" s="31"/>
      <c r="M70"/>
    </row>
    <row r="71" spans="1:13" ht="15.75" thickBot="1" x14ac:dyDescent="0.3">
      <c r="D71" s="165">
        <f>COUNTIF(D5:D65, "Sunday")</f>
        <v>1</v>
      </c>
      <c r="E71" s="184" t="s">
        <v>16</v>
      </c>
      <c r="F71" s="185">
        <f>AVERAGEIF($D$5:$D$65,"Sunday",$J$5:$J$65)</f>
        <v>40.002472624062051</v>
      </c>
      <c r="G71" s="186">
        <f>F71*1.2</f>
        <v>48.002967148874461</v>
      </c>
      <c r="H71" s="187">
        <f>F71*1.35</f>
        <v>54.003338042483776</v>
      </c>
      <c r="I71" s="188">
        <f>F71*1.6</f>
        <v>64.003956198499282</v>
      </c>
      <c r="J71" s="176">
        <f>+SUMIF($D$5:$D$65,"Sunday",$G$5:$G$65)/SUMIF($D$5:$D$65,"Sunday",$H$5:$H$65)</f>
        <v>40.002472624062051</v>
      </c>
      <c r="L71" s="31"/>
      <c r="M71"/>
    </row>
    <row r="72" spans="1:13" ht="15.75" thickBot="1" x14ac:dyDescent="0.3">
      <c r="F72" s="31"/>
      <c r="J72" s="177">
        <f>+SUM($G$5:$G$65)/SUM($H$5:$H$65)</f>
        <v>20.000220367130929</v>
      </c>
      <c r="L72" s="31"/>
      <c r="M72"/>
    </row>
    <row r="73" spans="1:13" x14ac:dyDescent="0.25">
      <c r="L73" s="31"/>
      <c r="M73"/>
    </row>
    <row r="74" spans="1:13" x14ac:dyDescent="0.25">
      <c r="L74" s="31"/>
      <c r="M74"/>
    </row>
    <row r="75" spans="1:13" x14ac:dyDescent="0.25">
      <c r="L75" s="31"/>
      <c r="M75"/>
    </row>
    <row r="76" spans="1:13" x14ac:dyDescent="0.25">
      <c r="L76" s="31"/>
      <c r="M76"/>
    </row>
    <row r="77" spans="1:13" x14ac:dyDescent="0.25">
      <c r="L77" s="31"/>
      <c r="M77"/>
    </row>
    <row r="78" spans="1:13" x14ac:dyDescent="0.25">
      <c r="L78" s="31"/>
      <c r="M78"/>
    </row>
    <row r="79" spans="1:13" x14ac:dyDescent="0.25">
      <c r="L79" s="31"/>
      <c r="M79"/>
    </row>
    <row r="80" spans="1:13" x14ac:dyDescent="0.25">
      <c r="L80" s="31"/>
      <c r="M80"/>
    </row>
    <row r="81" spans="12:13" x14ac:dyDescent="0.25">
      <c r="L81" s="31"/>
      <c r="M81"/>
    </row>
    <row r="82" spans="12:13" x14ac:dyDescent="0.25">
      <c r="L82" s="31"/>
      <c r="M82"/>
    </row>
    <row r="83" spans="12:13" x14ac:dyDescent="0.25">
      <c r="L83" s="31"/>
      <c r="M83"/>
    </row>
    <row r="84" spans="12:13" x14ac:dyDescent="0.25">
      <c r="L84" s="31"/>
      <c r="M84"/>
    </row>
    <row r="85" spans="12:13" x14ac:dyDescent="0.25">
      <c r="L85" s="31"/>
      <c r="M85"/>
    </row>
    <row r="86" spans="12:13" x14ac:dyDescent="0.25">
      <c r="L86" s="31"/>
      <c r="M86"/>
    </row>
    <row r="87" spans="12:13" x14ac:dyDescent="0.25">
      <c r="L87" s="31"/>
      <c r="M87"/>
    </row>
    <row r="88" spans="12:13" x14ac:dyDescent="0.25">
      <c r="L88" s="31"/>
      <c r="M88"/>
    </row>
    <row r="89" spans="12:13" x14ac:dyDescent="0.25">
      <c r="L89" s="31"/>
      <c r="M89"/>
    </row>
    <row r="90" spans="12:13" x14ac:dyDescent="0.25">
      <c r="L90" s="31"/>
      <c r="M90"/>
    </row>
    <row r="91" spans="12:13" x14ac:dyDescent="0.25">
      <c r="L91" s="31"/>
      <c r="M91"/>
    </row>
    <row r="92" spans="12:13" x14ac:dyDescent="0.25">
      <c r="L92" s="31"/>
      <c r="M92"/>
    </row>
    <row r="93" spans="12:13" x14ac:dyDescent="0.25">
      <c r="L93" s="31"/>
      <c r="M93"/>
    </row>
    <row r="94" spans="12:13" x14ac:dyDescent="0.25">
      <c r="L94" s="31"/>
      <c r="M94"/>
    </row>
    <row r="95" spans="12:13" x14ac:dyDescent="0.25">
      <c r="L95" s="31"/>
      <c r="M95"/>
    </row>
    <row r="96" spans="12:13" x14ac:dyDescent="0.25">
      <c r="L96" s="31"/>
      <c r="M96"/>
    </row>
    <row r="97" spans="12:13" x14ac:dyDescent="0.25">
      <c r="L97" s="31"/>
      <c r="M97"/>
    </row>
    <row r="98" spans="12:13" x14ac:dyDescent="0.25">
      <c r="L98" s="31"/>
      <c r="M98"/>
    </row>
    <row r="99" spans="12:13" x14ac:dyDescent="0.25">
      <c r="L99" s="31"/>
      <c r="M99"/>
    </row>
    <row r="100" spans="12:13" x14ac:dyDescent="0.25">
      <c r="L100" s="31"/>
      <c r="M100"/>
    </row>
    <row r="101" spans="12:13" x14ac:dyDescent="0.25">
      <c r="L101" s="31"/>
      <c r="M101"/>
    </row>
    <row r="102" spans="12:13" x14ac:dyDescent="0.25">
      <c r="L102" s="31"/>
      <c r="M102"/>
    </row>
    <row r="103" spans="12:13" x14ac:dyDescent="0.25">
      <c r="L103" s="31"/>
      <c r="M103"/>
    </row>
    <row r="104" spans="12:13" x14ac:dyDescent="0.25">
      <c r="L104" s="31"/>
      <c r="M104"/>
    </row>
    <row r="105" spans="12:13" x14ac:dyDescent="0.25">
      <c r="L105" s="31"/>
      <c r="M105"/>
    </row>
    <row r="106" spans="12:13" x14ac:dyDescent="0.25">
      <c r="L106" s="31"/>
      <c r="M106"/>
    </row>
    <row r="107" spans="12:13" x14ac:dyDescent="0.25">
      <c r="L107" s="31"/>
      <c r="M107"/>
    </row>
    <row r="108" spans="12:13" x14ac:dyDescent="0.25">
      <c r="L108" s="31"/>
      <c r="M108"/>
    </row>
    <row r="109" spans="12:13" x14ac:dyDescent="0.25">
      <c r="L109" s="31"/>
      <c r="M109"/>
    </row>
    <row r="110" spans="12:13" x14ac:dyDescent="0.25">
      <c r="L110" s="31"/>
      <c r="M110"/>
    </row>
    <row r="111" spans="12:13" x14ac:dyDescent="0.25">
      <c r="L111" s="31"/>
      <c r="M111"/>
    </row>
    <row r="112" spans="12:13" x14ac:dyDescent="0.25">
      <c r="L112" s="31"/>
      <c r="M112"/>
    </row>
    <row r="113" spans="12:13" x14ac:dyDescent="0.25">
      <c r="L113" s="31"/>
      <c r="M113"/>
    </row>
    <row r="114" spans="12:13" x14ac:dyDescent="0.25">
      <c r="L114" s="31"/>
      <c r="M114"/>
    </row>
    <row r="115" spans="12:13" x14ac:dyDescent="0.25">
      <c r="L115" s="31"/>
      <c r="M115"/>
    </row>
    <row r="116" spans="12:13" x14ac:dyDescent="0.25">
      <c r="L116" s="31"/>
      <c r="M116"/>
    </row>
    <row r="117" spans="12:13" x14ac:dyDescent="0.25">
      <c r="L117" s="31"/>
      <c r="M117"/>
    </row>
  </sheetData>
  <autoFilter ref="A4:M65" xr:uid="{6D0430F2-5540-4846-ADF8-D32AEEFA229B}"/>
  <sortState xmlns:xlrd2="http://schemas.microsoft.com/office/spreadsheetml/2017/richdata2" ref="A5:M65">
    <sortCondition ref="D5:D65" customList="Weekday,Wk,Saturday,Sat,Sunday,Sun,Sunday/Holiday,Sunday / Holiday,Reduced"/>
    <sortCondition ref="B5:B65"/>
  </sortState>
  <conditionalFormatting sqref="K1 K3 K5:K66 K73:K1048576">
    <cfRule type="cellIs" dxfId="54" priority="8" operator="greaterThan">
      <formula>1.6</formula>
    </cfRule>
  </conditionalFormatting>
  <conditionalFormatting sqref="K3 K5:K66">
    <cfRule type="cellIs" dxfId="53" priority="9" operator="between">
      <formula>1.35</formula>
      <formula>1.6</formula>
    </cfRule>
    <cfRule type="cellIs" dxfId="52" priority="10" operator="between">
      <formula>1.2</formula>
      <formula>1.35</formula>
    </cfRule>
  </conditionalFormatting>
  <conditionalFormatting sqref="L5:L65">
    <cfRule type="cellIs" dxfId="51" priority="7" operator="lessThan">
      <formula>20</formula>
    </cfRule>
  </conditionalFormatting>
  <conditionalFormatting sqref="J5:J65">
    <cfRule type="cellIs" dxfId="50" priority="23" operator="greaterThan">
      <formula>$I$69</formula>
    </cfRule>
    <cfRule type="cellIs" dxfId="49" priority="24" operator="between">
      <formula>$H$69</formula>
      <formula>$I$69</formula>
    </cfRule>
    <cfRule type="cellIs" dxfId="48" priority="25" operator="between">
      <formula>$G$69</formula>
      <formula>$H$69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C8AD-8639-43A9-8303-D920001D09D9}">
  <dimension ref="A1:M16"/>
  <sheetViews>
    <sheetView tabSelected="1" workbookViewId="0">
      <selection activeCell="A14" sqref="A14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5" width="13.85546875" bestFit="1" customWidth="1"/>
    <col min="6" max="6" width="15.140625" bestFit="1" customWidth="1"/>
    <col min="7" max="7" width="13.855468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32" t="s">
        <v>113</v>
      </c>
    </row>
    <row r="2" spans="1:13" ht="46.5" x14ac:dyDescent="0.7">
      <c r="A2" s="183" t="s">
        <v>117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5.75" thickBot="1" x14ac:dyDescent="0.3"/>
    <row r="4" spans="1:13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86</v>
      </c>
      <c r="J4" s="82" t="s">
        <v>28</v>
      </c>
      <c r="K4" s="83" t="s">
        <v>87</v>
      </c>
      <c r="L4" s="83" t="s">
        <v>88</v>
      </c>
      <c r="M4" s="84" t="s">
        <v>89</v>
      </c>
    </row>
    <row r="5" spans="1:13" x14ac:dyDescent="0.25">
      <c r="A5" s="128" t="s">
        <v>40</v>
      </c>
      <c r="B5" s="129" t="s">
        <v>31</v>
      </c>
      <c r="C5" s="129" t="s">
        <v>32</v>
      </c>
      <c r="D5" s="129" t="s">
        <v>7</v>
      </c>
      <c r="E5" s="125">
        <v>73022160.760926947</v>
      </c>
      <c r="F5" s="125">
        <v>5701932.4320634138</v>
      </c>
      <c r="G5" s="125">
        <f>E5-F5</f>
        <v>67320228.328863531</v>
      </c>
      <c r="H5" s="130">
        <v>1671179</v>
      </c>
      <c r="I5" s="130">
        <v>1051306</v>
      </c>
      <c r="J5" s="85">
        <f>G5/H5</f>
        <v>40.283074601142985</v>
      </c>
      <c r="K5" s="146">
        <v>1</v>
      </c>
      <c r="L5" s="87">
        <f>H5/I5</f>
        <v>1.5896218608093171</v>
      </c>
      <c r="M5" s="131"/>
    </row>
    <row r="6" spans="1:13" x14ac:dyDescent="0.25">
      <c r="A6" s="56" t="s">
        <v>40</v>
      </c>
      <c r="B6" t="s">
        <v>31</v>
      </c>
      <c r="C6" t="s">
        <v>32</v>
      </c>
      <c r="D6" t="s">
        <v>15</v>
      </c>
      <c r="E6" s="8">
        <v>6753395.4617149383</v>
      </c>
      <c r="F6" s="8">
        <v>491611.62556106399</v>
      </c>
      <c r="G6" s="8">
        <f t="shared" ref="G6:G7" si="0">E6-F6</f>
        <v>6261783.8361538742</v>
      </c>
      <c r="H6" s="12">
        <v>139849</v>
      </c>
      <c r="I6" s="12">
        <v>96120</v>
      </c>
      <c r="J6" s="9">
        <f t="shared" ref="J6:J7" si="1">G6/H6</f>
        <v>44.775320782800549</v>
      </c>
      <c r="K6" s="145">
        <v>1</v>
      </c>
      <c r="L6" s="11">
        <f t="shared" ref="L6:L7" si="2">H6/I6</f>
        <v>1.4549417394923012</v>
      </c>
      <c r="M6" s="45"/>
    </row>
    <row r="7" spans="1:13" ht="15.75" thickBot="1" x14ac:dyDescent="0.3">
      <c r="A7" s="60" t="s">
        <v>40</v>
      </c>
      <c r="B7" s="50" t="s">
        <v>31</v>
      </c>
      <c r="C7" s="50" t="s">
        <v>32</v>
      </c>
      <c r="D7" s="50" t="s">
        <v>16</v>
      </c>
      <c r="E7" s="65">
        <v>6441685.7773581129</v>
      </c>
      <c r="F7" s="65">
        <v>468012.94237552228</v>
      </c>
      <c r="G7" s="65">
        <f t="shared" si="0"/>
        <v>5973672.8349825907</v>
      </c>
      <c r="H7" s="66">
        <v>131507</v>
      </c>
      <c r="I7" s="66">
        <v>91681</v>
      </c>
      <c r="J7" s="51">
        <f t="shared" si="1"/>
        <v>45.424751800152016</v>
      </c>
      <c r="K7" s="110">
        <v>1</v>
      </c>
      <c r="L7" s="53">
        <f t="shared" si="2"/>
        <v>1.4343975305679475</v>
      </c>
      <c r="M7" s="54"/>
    </row>
    <row r="11" spans="1:13" ht="15.75" thickBot="1" x14ac:dyDescent="0.3"/>
    <row r="12" spans="1:13" ht="36" x14ac:dyDescent="0.25">
      <c r="D12" s="168" t="s">
        <v>123</v>
      </c>
      <c r="E12" s="169"/>
      <c r="F12" s="55" t="s">
        <v>90</v>
      </c>
      <c r="G12" s="69" t="s">
        <v>91</v>
      </c>
      <c r="H12" s="69" t="s">
        <v>92</v>
      </c>
      <c r="I12" s="69" t="s">
        <v>93</v>
      </c>
      <c r="J12" s="70" t="s">
        <v>94</v>
      </c>
      <c r="K12" s="175" t="s">
        <v>122</v>
      </c>
    </row>
    <row r="13" spans="1:13" x14ac:dyDescent="0.25">
      <c r="D13" s="164">
        <f>COUNTIF($D$5:$D$7, "Weekday")</f>
        <v>1</v>
      </c>
      <c r="E13" s="45"/>
      <c r="F13" s="90" t="s">
        <v>7</v>
      </c>
      <c r="G13" s="91">
        <f>AVERAGEIF($D$5:$D$7,"Weekday",J5:J7)</f>
        <v>40.283074601142985</v>
      </c>
      <c r="H13" s="92">
        <f>G13*1.2</f>
        <v>48.339689521371582</v>
      </c>
      <c r="I13" s="93">
        <f>G13*1.35</f>
        <v>54.382150711543034</v>
      </c>
      <c r="J13" s="94">
        <f>G13*1.6</f>
        <v>64.452919361828776</v>
      </c>
      <c r="K13" s="176">
        <f>+SUMIF($D$5:$D$7,"Weekday",$G$5:$G$7)/SUMIF($D$5:$D$7,"Weekday",$H$5:$H$7)</f>
        <v>40.283074601142985</v>
      </c>
    </row>
    <row r="14" spans="1:13" x14ac:dyDescent="0.25">
      <c r="D14" s="164">
        <f>COUNTIF($D$5:$D$7, "Saturday")</f>
        <v>1</v>
      </c>
      <c r="E14" s="45"/>
      <c r="F14" s="90" t="s">
        <v>15</v>
      </c>
      <c r="G14" s="91">
        <f>AVERAGEIF($D$5:$D$7,"Saturday",J5:J7)</f>
        <v>44.775320782800549</v>
      </c>
      <c r="H14" s="92">
        <f>G14*1.2</f>
        <v>53.730384939360654</v>
      </c>
      <c r="I14" s="93">
        <f>G14*1.35</f>
        <v>60.446683056780742</v>
      </c>
      <c r="J14" s="94">
        <f>G14*1.6</f>
        <v>71.640513252480886</v>
      </c>
      <c r="K14" s="176">
        <f>+SUMIF($D$5:$D$7,"saturday",$G$5:$G$7)/SUMIF($D$5:$D$7,"saturday",$H$5:$H$7)</f>
        <v>44.775320782800549</v>
      </c>
    </row>
    <row r="15" spans="1:13" ht="15.75" thickBot="1" x14ac:dyDescent="0.3">
      <c r="D15" s="165">
        <f>COUNTIF($D$5:$D$7, "Sunday")</f>
        <v>1</v>
      </c>
      <c r="E15" s="54"/>
      <c r="F15" s="95" t="s">
        <v>16</v>
      </c>
      <c r="G15" s="96">
        <f>AVERAGEIF($D$5:$D$7,"Sunday",J5:J7)</f>
        <v>45.424751800152016</v>
      </c>
      <c r="H15" s="97">
        <f>G15*1.2</f>
        <v>54.509702160182421</v>
      </c>
      <c r="I15" s="98">
        <f>G15*1.35</f>
        <v>61.323414930205224</v>
      </c>
      <c r="J15" s="99">
        <f>G15*1.6</f>
        <v>72.679602880243223</v>
      </c>
      <c r="K15" s="177">
        <f>+SUMIF($D$5:$D$7,"Sunday",$G$5:$G$7)/SUMIF($D$5:$D$7,"Sunday",$H$5:$H$7)</f>
        <v>45.424751800152016</v>
      </c>
    </row>
    <row r="16" spans="1:13" ht="15.75" thickBot="1" x14ac:dyDescent="0.3">
      <c r="F16" s="160" t="s">
        <v>119</v>
      </c>
      <c r="G16" s="180">
        <v>2</v>
      </c>
      <c r="H16" s="158"/>
      <c r="I16" s="158"/>
      <c r="J16" s="159"/>
      <c r="K16" s="177">
        <f>+SUM($G$5:$G$7)/SUM($H$5:$H$7)</f>
        <v>40.9545696731333</v>
      </c>
    </row>
  </sheetData>
  <mergeCells count="1">
    <mergeCell ref="A2:M2"/>
  </mergeCells>
  <conditionalFormatting sqref="K1">
    <cfRule type="cellIs" dxfId="7" priority="1" operator="greaterThan">
      <formula>1.6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1A7E-37E3-40EC-BF26-90385167816C}">
  <dimension ref="A1:M5"/>
  <sheetViews>
    <sheetView workbookViewId="0">
      <selection activeCell="I29" sqref="I29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32" t="s">
        <v>114</v>
      </c>
    </row>
    <row r="2" spans="1:13" ht="46.5" x14ac:dyDescent="0.7">
      <c r="A2" s="183" t="s">
        <v>116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5.75" thickBot="1" x14ac:dyDescent="0.3"/>
    <row r="4" spans="1:13" ht="48" x14ac:dyDescent="0.25">
      <c r="A4" s="36" t="s">
        <v>10</v>
      </c>
      <c r="B4" s="37" t="s">
        <v>82</v>
      </c>
      <c r="C4" s="38" t="s">
        <v>1</v>
      </c>
      <c r="D4" s="38" t="s">
        <v>2</v>
      </c>
      <c r="E4" s="39" t="s">
        <v>3</v>
      </c>
      <c r="F4" s="40" t="s">
        <v>83</v>
      </c>
      <c r="G4" s="39" t="s">
        <v>84</v>
      </c>
      <c r="H4" s="41" t="s">
        <v>85</v>
      </c>
      <c r="I4" s="41" t="s">
        <v>86</v>
      </c>
      <c r="J4" s="42" t="s">
        <v>28</v>
      </c>
      <c r="K4" s="43" t="s">
        <v>87</v>
      </c>
      <c r="L4" s="43" t="s">
        <v>88</v>
      </c>
      <c r="M4" s="67" t="s">
        <v>89</v>
      </c>
    </row>
    <row r="5" spans="1:13" ht="15.75" thickBot="1" x14ac:dyDescent="0.3">
      <c r="A5" s="101" t="s">
        <v>40</v>
      </c>
      <c r="B5" s="102" t="s">
        <v>29</v>
      </c>
      <c r="C5" s="101" t="s">
        <v>115</v>
      </c>
      <c r="D5" s="102" t="s">
        <v>25</v>
      </c>
      <c r="E5" s="147">
        <v>784761</v>
      </c>
      <c r="F5" s="147">
        <v>443396</v>
      </c>
      <c r="G5" s="147">
        <f>E5-F5</f>
        <v>341365</v>
      </c>
      <c r="H5" s="104">
        <v>81073</v>
      </c>
      <c r="I5" s="105">
        <v>19328</v>
      </c>
      <c r="J5" s="51">
        <f>G5/H5</f>
        <v>4.2105879886028639</v>
      </c>
      <c r="K5" s="110">
        <v>1</v>
      </c>
      <c r="L5" s="53">
        <f>H5/I5</f>
        <v>4.1945881622516552</v>
      </c>
      <c r="M5" s="54"/>
    </row>
  </sheetData>
  <mergeCells count="1">
    <mergeCell ref="A2:M2"/>
  </mergeCells>
  <conditionalFormatting sqref="K1">
    <cfRule type="cellIs" dxfId="6" priority="1" operator="greaterThan">
      <formula>1.6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F75E-2FB1-4263-8E71-4C64139B52E2}">
  <dimension ref="A1:O321"/>
  <sheetViews>
    <sheetView workbookViewId="0">
      <selection activeCell="F31" sqref="F31"/>
    </sheetView>
  </sheetViews>
  <sheetFormatPr defaultRowHeight="15" x14ac:dyDescent="0.25"/>
  <cols>
    <col min="1" max="1" width="19" bestFit="1" customWidth="1"/>
    <col min="2" max="2" width="12.42578125" bestFit="1" customWidth="1"/>
    <col min="3" max="3" width="23.42578125" bestFit="1" customWidth="1"/>
    <col min="4" max="4" width="23.42578125" customWidth="1"/>
    <col min="5" max="5" width="13.5703125" bestFit="1" customWidth="1"/>
    <col min="6" max="6" width="14.42578125" style="8" bestFit="1" customWidth="1"/>
    <col min="7" max="7" width="13.85546875" style="8" bestFit="1" customWidth="1"/>
    <col min="8" max="8" width="15" style="27" bestFit="1" customWidth="1"/>
    <col min="9" max="9" width="15.7109375" style="27" bestFit="1" customWidth="1"/>
    <col min="10" max="10" width="17.28515625" bestFit="1" customWidth="1"/>
    <col min="11" max="11" width="21" bestFit="1" customWidth="1"/>
    <col min="12" max="12" width="19" bestFit="1" customWidth="1"/>
    <col min="13" max="13" width="20.28515625" bestFit="1" customWidth="1"/>
    <col min="14" max="14" width="22.42578125" bestFit="1" customWidth="1"/>
    <col min="15" max="15" width="36.85546875" customWidth="1"/>
  </cols>
  <sheetData>
    <row r="1" spans="1:15" x14ac:dyDescent="0.25">
      <c r="A1" s="4" t="s">
        <v>10</v>
      </c>
      <c r="B1" s="4" t="s">
        <v>0</v>
      </c>
      <c r="C1" s="4" t="s">
        <v>1</v>
      </c>
      <c r="D1" s="4" t="s">
        <v>48</v>
      </c>
      <c r="E1" s="4" t="s">
        <v>2</v>
      </c>
      <c r="F1" s="5" t="s">
        <v>3</v>
      </c>
      <c r="G1" s="5" t="s">
        <v>5</v>
      </c>
      <c r="H1" s="6" t="s">
        <v>4</v>
      </c>
      <c r="I1" s="6" t="s">
        <v>6</v>
      </c>
      <c r="J1" s="4" t="s">
        <v>45</v>
      </c>
      <c r="K1" s="4" t="s">
        <v>28</v>
      </c>
      <c r="L1" s="4" t="s">
        <v>46</v>
      </c>
      <c r="M1" s="4" t="s">
        <v>47</v>
      </c>
      <c r="N1" s="4" t="s">
        <v>61</v>
      </c>
      <c r="O1" t="s">
        <v>44</v>
      </c>
    </row>
    <row r="2" spans="1:15" x14ac:dyDescent="0.25">
      <c r="A2" t="s">
        <v>12</v>
      </c>
      <c r="B2">
        <v>781</v>
      </c>
      <c r="C2" t="s">
        <v>13</v>
      </c>
      <c r="D2" t="s">
        <v>49</v>
      </c>
      <c r="E2" t="s">
        <v>7</v>
      </c>
      <c r="F2" s="19">
        <v>1519044.197039031</v>
      </c>
      <c r="G2" s="19">
        <v>310134.1922835352</v>
      </c>
      <c r="H2" s="20">
        <v>109291</v>
      </c>
      <c r="I2" s="20">
        <v>5176.5999999999995</v>
      </c>
      <c r="J2" s="8">
        <f t="shared" ref="J2:J65" si="0">ROUND(F2-G2,0)</f>
        <v>1208910</v>
      </c>
      <c r="K2" s="9">
        <f t="shared" ref="K2:K65" si="1">ROUND(J2/H2,2)</f>
        <v>11.06</v>
      </c>
      <c r="L2" s="10">
        <f t="shared" ref="L2:L65" si="2">+G2/F2</f>
        <v>0.2041640347845432</v>
      </c>
      <c r="M2" s="11">
        <f t="shared" ref="M2:M65" si="3">ROUND(H2/I2,1)</f>
        <v>21.1</v>
      </c>
      <c r="N2">
        <f>F2/I2</f>
        <v>293.4443837729458</v>
      </c>
    </row>
    <row r="3" spans="1:15" x14ac:dyDescent="0.25">
      <c r="A3" t="s">
        <v>12</v>
      </c>
      <c r="B3">
        <v>784</v>
      </c>
      <c r="C3" t="s">
        <v>13</v>
      </c>
      <c r="D3" t="s">
        <v>49</v>
      </c>
      <c r="E3" t="s">
        <v>7</v>
      </c>
      <c r="F3" s="19">
        <v>67896.998861165761</v>
      </c>
      <c r="G3" s="19">
        <v>13862.125237257136</v>
      </c>
      <c r="H3" s="20">
        <v>4885</v>
      </c>
      <c r="I3" s="20">
        <v>550.70000000000005</v>
      </c>
      <c r="J3" s="8">
        <f t="shared" si="0"/>
        <v>54035</v>
      </c>
      <c r="K3" s="9">
        <f t="shared" si="1"/>
        <v>11.06</v>
      </c>
      <c r="L3" s="10">
        <f t="shared" si="2"/>
        <v>0.2041640347845432</v>
      </c>
      <c r="M3" s="11">
        <f t="shared" si="3"/>
        <v>8.9</v>
      </c>
      <c r="N3">
        <f>F3/I3</f>
        <v>123.29217152926412</v>
      </c>
    </row>
    <row r="4" spans="1:15" x14ac:dyDescent="0.25">
      <c r="A4" t="s">
        <v>12</v>
      </c>
      <c r="B4">
        <v>785</v>
      </c>
      <c r="C4" t="s">
        <v>13</v>
      </c>
      <c r="D4" t="s">
        <v>49</v>
      </c>
      <c r="E4" t="s">
        <v>7</v>
      </c>
      <c r="F4" s="19">
        <v>185719.48798012215</v>
      </c>
      <c r="G4" s="19">
        <v>37917.240004141218</v>
      </c>
      <c r="H4" s="20">
        <v>13362</v>
      </c>
      <c r="I4" s="20">
        <v>993.69999999999993</v>
      </c>
      <c r="J4" s="8">
        <f t="shared" si="0"/>
        <v>147802</v>
      </c>
      <c r="K4" s="9">
        <f t="shared" si="1"/>
        <v>11.06</v>
      </c>
      <c r="L4" s="10">
        <f t="shared" si="2"/>
        <v>0.20416403478454323</v>
      </c>
      <c r="M4" s="11">
        <f t="shared" si="3"/>
        <v>13.4</v>
      </c>
      <c r="N4">
        <f>F4/I4</f>
        <v>186.8969386938937</v>
      </c>
    </row>
    <row r="5" spans="1:15" x14ac:dyDescent="0.25">
      <c r="A5" t="s">
        <v>12</v>
      </c>
      <c r="B5">
        <v>789</v>
      </c>
      <c r="C5" t="s">
        <v>13</v>
      </c>
      <c r="D5" t="s">
        <v>49</v>
      </c>
      <c r="E5" t="s">
        <v>7</v>
      </c>
      <c r="F5" s="19">
        <v>241107.31611968111</v>
      </c>
      <c r="G5" s="19">
        <v>49225.442475066433</v>
      </c>
      <c r="H5" s="20">
        <v>17347</v>
      </c>
      <c r="I5" s="20">
        <v>594.80000000000007</v>
      </c>
      <c r="J5" s="8">
        <f t="shared" si="0"/>
        <v>191882</v>
      </c>
      <c r="K5" s="9">
        <f t="shared" si="1"/>
        <v>11.06</v>
      </c>
      <c r="L5" s="10">
        <f t="shared" si="2"/>
        <v>0.20416403478454323</v>
      </c>
      <c r="M5" s="11">
        <f t="shared" si="3"/>
        <v>29.2</v>
      </c>
      <c r="N5">
        <f>F5/I5</f>
        <v>405.35863503645106</v>
      </c>
    </row>
    <row r="6" spans="1:15" x14ac:dyDescent="0.25">
      <c r="A6" t="s">
        <v>12</v>
      </c>
      <c r="B6" t="s">
        <v>8</v>
      </c>
      <c r="C6" t="s">
        <v>14</v>
      </c>
      <c r="D6" t="s">
        <v>50</v>
      </c>
      <c r="E6" t="s">
        <v>9</v>
      </c>
      <c r="F6" s="19">
        <v>1385737</v>
      </c>
      <c r="G6" s="19">
        <v>75921.09</v>
      </c>
      <c r="H6" s="20">
        <v>35322</v>
      </c>
      <c r="I6" s="20">
        <v>15061</v>
      </c>
      <c r="J6" s="8">
        <f t="shared" si="0"/>
        <v>1309816</v>
      </c>
      <c r="K6" s="9">
        <f t="shared" si="1"/>
        <v>37.08</v>
      </c>
      <c r="L6" s="10">
        <f t="shared" si="2"/>
        <v>5.478751740048797E-2</v>
      </c>
      <c r="M6" s="11">
        <f t="shared" si="3"/>
        <v>2.2999999999999998</v>
      </c>
      <c r="N6">
        <f>F6/I6</f>
        <v>92.008299581701081</v>
      </c>
    </row>
    <row r="7" spans="1:15" x14ac:dyDescent="0.25">
      <c r="A7" t="s">
        <v>34</v>
      </c>
      <c r="B7" s="13">
        <v>903</v>
      </c>
      <c r="C7" t="s">
        <v>57</v>
      </c>
      <c r="D7" t="s">
        <v>49</v>
      </c>
      <c r="E7" s="13" t="s">
        <v>7</v>
      </c>
      <c r="F7" s="9">
        <v>1770773.0515718702</v>
      </c>
      <c r="G7" s="14">
        <v>227603.09900875692</v>
      </c>
      <c r="H7" s="15">
        <v>87429.516319570772</v>
      </c>
      <c r="I7" s="16">
        <v>5961.7000000000298</v>
      </c>
      <c r="J7" s="8">
        <f t="shared" si="0"/>
        <v>1543170</v>
      </c>
      <c r="K7" s="9">
        <f t="shared" si="1"/>
        <v>17.649999999999999</v>
      </c>
      <c r="L7" s="10">
        <f t="shared" si="2"/>
        <v>0.1285331843099371</v>
      </c>
      <c r="M7" s="11">
        <f t="shared" si="3"/>
        <v>14.7</v>
      </c>
      <c r="N7">
        <f>F7/I7</f>
        <v>297.02485055803902</v>
      </c>
    </row>
    <row r="8" spans="1:15" x14ac:dyDescent="0.25">
      <c r="A8" t="s">
        <v>34</v>
      </c>
      <c r="B8" s="13">
        <v>904</v>
      </c>
      <c r="C8" t="s">
        <v>57</v>
      </c>
      <c r="D8" t="s">
        <v>49</v>
      </c>
      <c r="E8" s="13" t="s">
        <v>7</v>
      </c>
      <c r="F8" s="9">
        <v>5120653.1489225607</v>
      </c>
      <c r="G8" s="14">
        <v>490702.05277110438</v>
      </c>
      <c r="H8" s="15">
        <v>278894.98495934065</v>
      </c>
      <c r="I8" s="16">
        <v>20481.220000000012</v>
      </c>
      <c r="J8" s="8">
        <f t="shared" si="0"/>
        <v>4629951</v>
      </c>
      <c r="K8" s="9">
        <f t="shared" si="1"/>
        <v>16.600000000000001</v>
      </c>
      <c r="L8" s="10">
        <f t="shared" si="2"/>
        <v>9.5828020078718518E-2</v>
      </c>
      <c r="M8" s="11">
        <f t="shared" si="3"/>
        <v>13.6</v>
      </c>
      <c r="N8">
        <f>F8/I8</f>
        <v>250.01699844650651</v>
      </c>
    </row>
    <row r="9" spans="1:15" x14ac:dyDescent="0.25">
      <c r="A9" t="s">
        <v>34</v>
      </c>
      <c r="B9" s="13">
        <v>921</v>
      </c>
      <c r="C9" t="s">
        <v>57</v>
      </c>
      <c r="D9" t="s">
        <v>49</v>
      </c>
      <c r="E9" s="13" t="s">
        <v>7</v>
      </c>
      <c r="F9" s="9">
        <v>6234033.2391254706</v>
      </c>
      <c r="G9" s="14">
        <v>1074315.0100678785</v>
      </c>
      <c r="H9" s="15">
        <v>797396</v>
      </c>
      <c r="I9" s="16">
        <v>22276.000000000127</v>
      </c>
      <c r="J9" s="8">
        <f t="shared" si="0"/>
        <v>5159718</v>
      </c>
      <c r="K9" s="9">
        <f t="shared" si="1"/>
        <v>6.47</v>
      </c>
      <c r="L9" s="10">
        <f t="shared" si="2"/>
        <v>0.1723306515796805</v>
      </c>
      <c r="M9" s="11">
        <f t="shared" si="3"/>
        <v>35.799999999999997</v>
      </c>
      <c r="N9">
        <f>F9/I9</f>
        <v>279.85424847932461</v>
      </c>
    </row>
    <row r="10" spans="1:15" x14ac:dyDescent="0.25">
      <c r="A10" t="s">
        <v>34</v>
      </c>
      <c r="B10" s="13">
        <v>923</v>
      </c>
      <c r="C10" t="s">
        <v>57</v>
      </c>
      <c r="D10" t="s">
        <v>49</v>
      </c>
      <c r="E10" s="13" t="s">
        <v>7</v>
      </c>
      <c r="F10" s="9">
        <v>7246414.7721376251</v>
      </c>
      <c r="G10" s="14">
        <v>695626.03481318639</v>
      </c>
      <c r="H10" s="15">
        <v>1280455</v>
      </c>
      <c r="I10" s="16">
        <v>28354.060000000081</v>
      </c>
      <c r="J10" s="8">
        <f t="shared" si="0"/>
        <v>6550789</v>
      </c>
      <c r="K10" s="9">
        <f t="shared" si="1"/>
        <v>5.12</v>
      </c>
      <c r="L10" s="10">
        <f t="shared" si="2"/>
        <v>9.599588992447132E-2</v>
      </c>
      <c r="M10" s="11">
        <f t="shared" si="3"/>
        <v>45.2</v>
      </c>
      <c r="N10">
        <f>F10/I10</f>
        <v>255.56885934986397</v>
      </c>
    </row>
    <row r="11" spans="1:15" x14ac:dyDescent="0.25">
      <c r="A11" t="s">
        <v>34</v>
      </c>
      <c r="B11" s="13">
        <v>924</v>
      </c>
      <c r="C11" t="s">
        <v>57</v>
      </c>
      <c r="D11" t="s">
        <v>49</v>
      </c>
      <c r="E11" s="13" t="s">
        <v>7</v>
      </c>
      <c r="F11" s="9">
        <v>1054308.131701594</v>
      </c>
      <c r="G11" s="14">
        <v>118305.22585984254</v>
      </c>
      <c r="H11" s="15">
        <v>151017.96395152676</v>
      </c>
      <c r="I11" s="16">
        <v>4503.7899999999991</v>
      </c>
      <c r="J11" s="8">
        <f t="shared" si="0"/>
        <v>936003</v>
      </c>
      <c r="K11" s="9">
        <f t="shared" si="1"/>
        <v>6.2</v>
      </c>
      <c r="L11" s="10">
        <f t="shared" si="2"/>
        <v>0.11221124290192523</v>
      </c>
      <c r="M11" s="11">
        <f t="shared" si="3"/>
        <v>33.5</v>
      </c>
      <c r="N11">
        <f>F11/I11</f>
        <v>234.09353715461737</v>
      </c>
    </row>
    <row r="12" spans="1:15" x14ac:dyDescent="0.25">
      <c r="A12" t="s">
        <v>34</v>
      </c>
      <c r="B12" s="13">
        <v>903</v>
      </c>
      <c r="C12" t="s">
        <v>57</v>
      </c>
      <c r="D12" t="s">
        <v>49</v>
      </c>
      <c r="E12" s="13" t="s">
        <v>15</v>
      </c>
      <c r="F12" s="9">
        <v>331181.31543979549</v>
      </c>
      <c r="G12" s="14">
        <v>10364.110601183122</v>
      </c>
      <c r="H12" s="15">
        <v>17467.40144245368</v>
      </c>
      <c r="I12" s="16">
        <v>1092.75</v>
      </c>
      <c r="J12" s="8">
        <f t="shared" si="0"/>
        <v>320817</v>
      </c>
      <c r="K12" s="9">
        <f t="shared" si="1"/>
        <v>18.37</v>
      </c>
      <c r="L12" s="10">
        <f t="shared" si="2"/>
        <v>3.129436993575558E-2</v>
      </c>
      <c r="M12" s="11">
        <f t="shared" si="3"/>
        <v>16</v>
      </c>
      <c r="N12">
        <f>F12/I12</f>
        <v>303.07143943243699</v>
      </c>
      <c r="O12" s="15"/>
    </row>
    <row r="13" spans="1:15" x14ac:dyDescent="0.25">
      <c r="A13" t="s">
        <v>34</v>
      </c>
      <c r="B13" s="13">
        <v>904</v>
      </c>
      <c r="C13" t="s">
        <v>57</v>
      </c>
      <c r="D13" t="s">
        <v>49</v>
      </c>
      <c r="E13" s="13" t="s">
        <v>15</v>
      </c>
      <c r="F13" s="9">
        <v>499669.4355842676</v>
      </c>
      <c r="G13" s="14">
        <v>19410.199318433439</v>
      </c>
      <c r="H13" s="15">
        <v>24928.050698417443</v>
      </c>
      <c r="I13" s="16">
        <v>2009.9400000000023</v>
      </c>
      <c r="J13" s="8">
        <f t="shared" si="0"/>
        <v>480259</v>
      </c>
      <c r="K13" s="9">
        <f t="shared" si="1"/>
        <v>19.27</v>
      </c>
      <c r="L13" s="10">
        <f t="shared" si="2"/>
        <v>3.8846080900939904E-2</v>
      </c>
      <c r="M13" s="11">
        <f t="shared" si="3"/>
        <v>12.4</v>
      </c>
      <c r="N13">
        <f>F13/I13</f>
        <v>248.59917986818863</v>
      </c>
      <c r="O13" s="15"/>
    </row>
    <row r="14" spans="1:15" x14ac:dyDescent="0.25">
      <c r="A14" t="s">
        <v>34</v>
      </c>
      <c r="B14" s="13">
        <v>921</v>
      </c>
      <c r="C14" t="s">
        <v>57</v>
      </c>
      <c r="D14" t="s">
        <v>49</v>
      </c>
      <c r="E14" s="13" t="s">
        <v>15</v>
      </c>
      <c r="F14" s="9">
        <v>1231181.2088343641</v>
      </c>
      <c r="G14" s="14">
        <v>187731.62466884591</v>
      </c>
      <c r="H14" s="15">
        <v>152528</v>
      </c>
      <c r="I14" s="16">
        <v>4298.8000000000011</v>
      </c>
      <c r="J14" s="8">
        <f t="shared" si="0"/>
        <v>1043450</v>
      </c>
      <c r="K14" s="9">
        <f t="shared" si="1"/>
        <v>6.84</v>
      </c>
      <c r="L14" s="10">
        <f t="shared" si="2"/>
        <v>0.15248090477808959</v>
      </c>
      <c r="M14" s="11">
        <f t="shared" si="3"/>
        <v>35.5</v>
      </c>
      <c r="N14">
        <f>F14/I14</f>
        <v>286.4011372555978</v>
      </c>
      <c r="O14" s="15"/>
    </row>
    <row r="15" spans="1:15" x14ac:dyDescent="0.25">
      <c r="A15" t="s">
        <v>34</v>
      </c>
      <c r="B15" s="13">
        <v>923</v>
      </c>
      <c r="C15" t="s">
        <v>57</v>
      </c>
      <c r="D15" t="s">
        <v>49</v>
      </c>
      <c r="E15" s="13" t="s">
        <v>15</v>
      </c>
      <c r="F15" s="9">
        <v>1331933.0962976844</v>
      </c>
      <c r="G15" s="14">
        <v>79410.968271362042</v>
      </c>
      <c r="H15" s="15">
        <v>192904</v>
      </c>
      <c r="I15" s="16">
        <v>5003.1699999999973</v>
      </c>
      <c r="J15" s="8">
        <f t="shared" si="0"/>
        <v>1252522</v>
      </c>
      <c r="K15" s="9">
        <f t="shared" si="1"/>
        <v>6.49</v>
      </c>
      <c r="L15" s="10">
        <f t="shared" si="2"/>
        <v>5.9620838683337181E-2</v>
      </c>
      <c r="M15" s="11">
        <f t="shared" si="3"/>
        <v>38.6</v>
      </c>
      <c r="N15">
        <f>F15/I15</f>
        <v>266.2178371507834</v>
      </c>
      <c r="O15" s="15"/>
    </row>
    <row r="16" spans="1:15" x14ac:dyDescent="0.25">
      <c r="A16" t="s">
        <v>34</v>
      </c>
      <c r="B16" s="13">
        <v>924</v>
      </c>
      <c r="C16" t="s">
        <v>57</v>
      </c>
      <c r="D16" t="s">
        <v>49</v>
      </c>
      <c r="E16" s="13" t="s">
        <v>15</v>
      </c>
      <c r="F16" s="9">
        <v>253362.45764552741</v>
      </c>
      <c r="G16" s="14">
        <v>15317.87480280552</v>
      </c>
      <c r="H16" s="15">
        <v>30498.570693817179</v>
      </c>
      <c r="I16" s="16">
        <v>1085.05</v>
      </c>
      <c r="J16" s="8">
        <f t="shared" si="0"/>
        <v>238045</v>
      </c>
      <c r="K16" s="9">
        <f t="shared" si="1"/>
        <v>7.81</v>
      </c>
      <c r="L16" s="10">
        <f t="shared" si="2"/>
        <v>6.0458344717496962E-2</v>
      </c>
      <c r="M16" s="11">
        <f t="shared" si="3"/>
        <v>28.1</v>
      </c>
      <c r="N16">
        <f>F16/I16</f>
        <v>233.50302534033216</v>
      </c>
      <c r="O16" s="15"/>
    </row>
    <row r="17" spans="1:14" x14ac:dyDescent="0.25">
      <c r="A17" t="s">
        <v>34</v>
      </c>
      <c r="B17" s="13">
        <v>903</v>
      </c>
      <c r="C17" t="s">
        <v>57</v>
      </c>
      <c r="D17" t="s">
        <v>49</v>
      </c>
      <c r="E17" s="13" t="s">
        <v>16</v>
      </c>
      <c r="F17" s="9">
        <v>373459.78124062042</v>
      </c>
      <c r="G17" s="14">
        <v>8754.2481228794841</v>
      </c>
      <c r="H17" s="15">
        <v>17380.148534429871</v>
      </c>
      <c r="I17" s="16">
        <v>1232.25</v>
      </c>
      <c r="J17" s="8">
        <f t="shared" si="0"/>
        <v>364706</v>
      </c>
      <c r="K17" s="9">
        <f t="shared" si="1"/>
        <v>20.98</v>
      </c>
      <c r="L17" s="10">
        <f t="shared" si="2"/>
        <v>2.3440939460196156E-2</v>
      </c>
      <c r="M17" s="11">
        <f t="shared" si="3"/>
        <v>14.1</v>
      </c>
      <c r="N17">
        <f>F17/I17</f>
        <v>303.07143943243693</v>
      </c>
    </row>
    <row r="18" spans="1:14" x14ac:dyDescent="0.25">
      <c r="A18" t="s">
        <v>34</v>
      </c>
      <c r="B18" s="13">
        <v>904</v>
      </c>
      <c r="C18" t="s">
        <v>57</v>
      </c>
      <c r="D18" t="s">
        <v>49</v>
      </c>
      <c r="E18" s="13" t="s">
        <v>16</v>
      </c>
      <c r="F18" s="9">
        <v>516312.38720110065</v>
      </c>
      <c r="G18" s="14">
        <v>15424.542391693514</v>
      </c>
      <c r="H18" s="15">
        <v>22255.798985206242</v>
      </c>
      <c r="I18" s="16">
        <v>2072.8700000000022</v>
      </c>
      <c r="J18" s="8">
        <f t="shared" si="0"/>
        <v>500888</v>
      </c>
      <c r="K18" s="9">
        <f t="shared" si="1"/>
        <v>22.51</v>
      </c>
      <c r="L18" s="10">
        <f t="shared" si="2"/>
        <v>2.9874437983773854E-2</v>
      </c>
      <c r="M18" s="11">
        <f t="shared" si="3"/>
        <v>10.7</v>
      </c>
      <c r="N18">
        <f>F18/I18</f>
        <v>249.08092991895299</v>
      </c>
    </row>
    <row r="19" spans="1:14" x14ac:dyDescent="0.25">
      <c r="A19" t="s">
        <v>34</v>
      </c>
      <c r="B19" s="13">
        <v>921</v>
      </c>
      <c r="C19" t="s">
        <v>57</v>
      </c>
      <c r="D19" t="s">
        <v>49</v>
      </c>
      <c r="E19" s="13" t="s">
        <v>16</v>
      </c>
      <c r="F19" s="9">
        <v>1250666.3035618742</v>
      </c>
      <c r="G19" s="14">
        <v>137997.14063754876</v>
      </c>
      <c r="H19" s="15">
        <v>131938</v>
      </c>
      <c r="I19" s="16">
        <v>4378.7700000000004</v>
      </c>
      <c r="J19" s="8">
        <f t="shared" si="0"/>
        <v>1112669</v>
      </c>
      <c r="K19" s="9">
        <f t="shared" si="1"/>
        <v>8.43</v>
      </c>
      <c r="L19" s="10">
        <f t="shared" si="2"/>
        <v>0.1103388971498916</v>
      </c>
      <c r="M19" s="11">
        <f t="shared" si="3"/>
        <v>30.1</v>
      </c>
      <c r="N19">
        <f>F19/I19</f>
        <v>285.62046044023185</v>
      </c>
    </row>
    <row r="20" spans="1:14" x14ac:dyDescent="0.25">
      <c r="A20" t="s">
        <v>34</v>
      </c>
      <c r="B20" s="13">
        <v>923</v>
      </c>
      <c r="C20" t="s">
        <v>57</v>
      </c>
      <c r="D20" t="s">
        <v>49</v>
      </c>
      <c r="E20" s="13" t="s">
        <v>16</v>
      </c>
      <c r="F20" s="9">
        <v>1436223.6061023797</v>
      </c>
      <c r="G20" s="14">
        <v>67614.092214244287</v>
      </c>
      <c r="H20" s="15">
        <v>188545</v>
      </c>
      <c r="I20" s="16">
        <v>5332.3299999999981</v>
      </c>
      <c r="J20" s="8">
        <f t="shared" si="0"/>
        <v>1368610</v>
      </c>
      <c r="K20" s="9">
        <f t="shared" si="1"/>
        <v>7.26</v>
      </c>
      <c r="L20" s="10">
        <f t="shared" si="2"/>
        <v>4.7077691751450358E-2</v>
      </c>
      <c r="M20" s="11">
        <f t="shared" si="3"/>
        <v>35.4</v>
      </c>
      <c r="N20">
        <f>F20/I20</f>
        <v>269.34259622011018</v>
      </c>
    </row>
    <row r="21" spans="1:14" x14ac:dyDescent="0.25">
      <c r="A21" t="s">
        <v>34</v>
      </c>
      <c r="B21" s="13">
        <v>924</v>
      </c>
      <c r="C21" t="s">
        <v>57</v>
      </c>
      <c r="D21" t="s">
        <v>49</v>
      </c>
      <c r="E21" s="13" t="s">
        <v>16</v>
      </c>
      <c r="F21" s="9">
        <v>185604.45998841801</v>
      </c>
      <c r="G21" s="14">
        <v>8309.2144705171922</v>
      </c>
      <c r="H21" s="15">
        <v>18455.566906819742</v>
      </c>
      <c r="I21" s="16">
        <v>789.52</v>
      </c>
      <c r="J21" s="8">
        <f t="shared" si="0"/>
        <v>177295</v>
      </c>
      <c r="K21" s="9">
        <f t="shared" si="1"/>
        <v>9.61</v>
      </c>
      <c r="L21" s="10">
        <f t="shared" si="2"/>
        <v>4.4768398728326352E-2</v>
      </c>
      <c r="M21" s="11">
        <f t="shared" si="3"/>
        <v>23.4</v>
      </c>
      <c r="N21">
        <f>F21/I21</f>
        <v>235.08519098745822</v>
      </c>
    </row>
    <row r="22" spans="1:14" x14ac:dyDescent="0.25">
      <c r="A22" t="s">
        <v>34</v>
      </c>
      <c r="B22" s="13">
        <v>94</v>
      </c>
      <c r="C22" t="s">
        <v>13</v>
      </c>
      <c r="D22" t="s">
        <v>49</v>
      </c>
      <c r="E22" s="13" t="s">
        <v>7</v>
      </c>
      <c r="F22" s="9">
        <v>2638205.2859394313</v>
      </c>
      <c r="G22" s="14">
        <v>348382.27294881898</v>
      </c>
      <c r="H22" s="15">
        <v>176680.83130908449</v>
      </c>
      <c r="I22" s="16">
        <v>10253.919999999958</v>
      </c>
      <c r="J22" s="8">
        <f t="shared" si="0"/>
        <v>2289823</v>
      </c>
      <c r="K22" s="9">
        <f t="shared" si="1"/>
        <v>12.96</v>
      </c>
      <c r="L22" s="10">
        <f t="shared" si="2"/>
        <v>0.13205275374344666</v>
      </c>
      <c r="M22" s="11">
        <f t="shared" si="3"/>
        <v>17.2</v>
      </c>
      <c r="N22">
        <f>F22/I22</f>
        <v>257.28748478040029</v>
      </c>
    </row>
    <row r="23" spans="1:14" x14ac:dyDescent="0.25">
      <c r="A23" t="s">
        <v>34</v>
      </c>
      <c r="B23" s="13">
        <v>113</v>
      </c>
      <c r="C23" t="s">
        <v>13</v>
      </c>
      <c r="D23" t="s">
        <v>49</v>
      </c>
      <c r="E23" s="13" t="s">
        <v>7</v>
      </c>
      <c r="F23" s="9">
        <v>516765.82420024992</v>
      </c>
      <c r="G23" s="14">
        <v>113142.35110411832</v>
      </c>
      <c r="H23" s="15">
        <v>30015.000360191236</v>
      </c>
      <c r="I23" s="16">
        <v>1501.0000000000011</v>
      </c>
      <c r="J23" s="8">
        <f t="shared" si="0"/>
        <v>403623</v>
      </c>
      <c r="K23" s="9">
        <f t="shared" si="1"/>
        <v>13.45</v>
      </c>
      <c r="L23" s="10">
        <f t="shared" si="2"/>
        <v>0.2189431765910955</v>
      </c>
      <c r="M23" s="11">
        <f t="shared" si="3"/>
        <v>20</v>
      </c>
      <c r="N23">
        <f>F23/I23</f>
        <v>344.28102878097906</v>
      </c>
    </row>
    <row r="24" spans="1:14" x14ac:dyDescent="0.25">
      <c r="A24" t="s">
        <v>34</v>
      </c>
      <c r="B24" s="13">
        <v>114</v>
      </c>
      <c r="C24" t="s">
        <v>13</v>
      </c>
      <c r="D24" t="s">
        <v>49</v>
      </c>
      <c r="E24" s="13" t="s">
        <v>7</v>
      </c>
      <c r="F24" s="9">
        <v>603145.57253848587</v>
      </c>
      <c r="G24" s="14">
        <v>150765.77604045652</v>
      </c>
      <c r="H24" s="15">
        <v>39539.233452910921</v>
      </c>
      <c r="I24" s="16">
        <v>1566.9000000000005</v>
      </c>
      <c r="J24" s="8">
        <f t="shared" si="0"/>
        <v>452380</v>
      </c>
      <c r="K24" s="9">
        <f t="shared" si="1"/>
        <v>11.44</v>
      </c>
      <c r="L24" s="10">
        <f t="shared" si="2"/>
        <v>0.24996581738289453</v>
      </c>
      <c r="M24" s="11">
        <f t="shared" si="3"/>
        <v>25.2</v>
      </c>
      <c r="N24">
        <f>F24/I24</f>
        <v>384.9292057811511</v>
      </c>
    </row>
    <row r="25" spans="1:14" x14ac:dyDescent="0.25">
      <c r="A25" t="s">
        <v>34</v>
      </c>
      <c r="B25" s="13">
        <v>115</v>
      </c>
      <c r="C25" t="s">
        <v>13</v>
      </c>
      <c r="D25" t="s">
        <v>49</v>
      </c>
      <c r="E25" s="13" t="s">
        <v>7</v>
      </c>
      <c r="F25" s="9">
        <v>30347.631479167914</v>
      </c>
      <c r="G25" s="14">
        <v>3537.9430975396922</v>
      </c>
      <c r="H25" s="15">
        <v>1464.377119002045</v>
      </c>
      <c r="I25" s="16">
        <v>103.39999999999985</v>
      </c>
      <c r="J25" s="8">
        <f t="shared" si="0"/>
        <v>26810</v>
      </c>
      <c r="K25" s="9">
        <f t="shared" si="1"/>
        <v>18.309999999999999</v>
      </c>
      <c r="L25" s="10">
        <f t="shared" si="2"/>
        <v>0.11658053446339982</v>
      </c>
      <c r="M25" s="11">
        <f t="shared" si="3"/>
        <v>14.2</v>
      </c>
      <c r="N25">
        <f>F25/I25</f>
        <v>293.49740308673074</v>
      </c>
    </row>
    <row r="26" spans="1:14" x14ac:dyDescent="0.25">
      <c r="A26" t="s">
        <v>34</v>
      </c>
      <c r="B26" s="13">
        <v>250</v>
      </c>
      <c r="C26" t="s">
        <v>13</v>
      </c>
      <c r="D26" t="s">
        <v>49</v>
      </c>
      <c r="E26" s="13" t="s">
        <v>7</v>
      </c>
      <c r="F26" s="9">
        <v>909629.08150853321</v>
      </c>
      <c r="G26" s="14">
        <v>554148.9106370497</v>
      </c>
      <c r="H26" s="15">
        <v>73861.163501940187</v>
      </c>
      <c r="I26" s="16">
        <v>2559.5299999999957</v>
      </c>
      <c r="J26" s="8">
        <f t="shared" si="0"/>
        <v>355480</v>
      </c>
      <c r="K26" s="9">
        <f t="shared" si="1"/>
        <v>4.8099999999999996</v>
      </c>
      <c r="L26" s="10">
        <f t="shared" si="2"/>
        <v>0.60920315972972905</v>
      </c>
      <c r="M26" s="11">
        <f t="shared" si="3"/>
        <v>28.9</v>
      </c>
      <c r="N26">
        <f>F26/I26</f>
        <v>355.38910718316828</v>
      </c>
    </row>
    <row r="27" spans="1:14" x14ac:dyDescent="0.25">
      <c r="A27" t="s">
        <v>34</v>
      </c>
      <c r="B27" s="13">
        <v>252</v>
      </c>
      <c r="C27" t="s">
        <v>13</v>
      </c>
      <c r="D27" t="s">
        <v>49</v>
      </c>
      <c r="E27" s="13" t="s">
        <v>7</v>
      </c>
      <c r="F27" s="9">
        <v>213369.31432042213</v>
      </c>
      <c r="G27" s="14">
        <v>70575.097002005961</v>
      </c>
      <c r="H27" s="15">
        <v>13936.286767128579</v>
      </c>
      <c r="I27" s="16">
        <v>503.20999999999975</v>
      </c>
      <c r="J27" s="8">
        <f t="shared" si="0"/>
        <v>142794</v>
      </c>
      <c r="K27" s="9">
        <f t="shared" si="1"/>
        <v>10.25</v>
      </c>
      <c r="L27" s="10">
        <f t="shared" si="2"/>
        <v>0.33076498008528793</v>
      </c>
      <c r="M27" s="11">
        <f t="shared" si="3"/>
        <v>27.7</v>
      </c>
      <c r="N27">
        <f>F27/I27</f>
        <v>424.01644307629465</v>
      </c>
    </row>
    <row r="28" spans="1:14" x14ac:dyDescent="0.25">
      <c r="A28" t="s">
        <v>34</v>
      </c>
      <c r="B28" s="13">
        <v>264</v>
      </c>
      <c r="C28" t="s">
        <v>13</v>
      </c>
      <c r="D28" t="s">
        <v>49</v>
      </c>
      <c r="E28" s="13" t="s">
        <v>7</v>
      </c>
      <c r="F28" s="9">
        <v>338597.73099790642</v>
      </c>
      <c r="G28" s="14">
        <v>84660.016003209035</v>
      </c>
      <c r="H28" s="15">
        <v>14621.69515305057</v>
      </c>
      <c r="I28" s="16">
        <v>1099.3000000000004</v>
      </c>
      <c r="J28" s="8">
        <f t="shared" si="0"/>
        <v>253938</v>
      </c>
      <c r="K28" s="9">
        <f t="shared" si="1"/>
        <v>17.37</v>
      </c>
      <c r="L28" s="10">
        <f t="shared" si="2"/>
        <v>0.25003125612714899</v>
      </c>
      <c r="M28" s="11">
        <f t="shared" si="3"/>
        <v>13.3</v>
      </c>
      <c r="N28">
        <f>F28/I28</f>
        <v>308.01212680606415</v>
      </c>
    </row>
    <row r="29" spans="1:14" x14ac:dyDescent="0.25">
      <c r="A29" t="s">
        <v>34</v>
      </c>
      <c r="B29" s="13">
        <v>270</v>
      </c>
      <c r="C29" t="s">
        <v>13</v>
      </c>
      <c r="D29" t="s">
        <v>49</v>
      </c>
      <c r="E29" s="13" t="s">
        <v>7</v>
      </c>
      <c r="F29" s="9">
        <v>766515.29583654576</v>
      </c>
      <c r="G29" s="14">
        <v>285995.14885208511</v>
      </c>
      <c r="H29" s="15">
        <v>40310.843507001016</v>
      </c>
      <c r="I29" s="16">
        <v>2205.2500000000068</v>
      </c>
      <c r="J29" s="8">
        <f t="shared" si="0"/>
        <v>480520</v>
      </c>
      <c r="K29" s="9">
        <f t="shared" si="1"/>
        <v>11.92</v>
      </c>
      <c r="L29" s="10">
        <f t="shared" si="2"/>
        <v>0.37311081775603816</v>
      </c>
      <c r="M29" s="11">
        <f t="shared" si="3"/>
        <v>18.3</v>
      </c>
      <c r="N29">
        <f>F29/I29</f>
        <v>347.58657559757097</v>
      </c>
    </row>
    <row r="30" spans="1:14" x14ac:dyDescent="0.25">
      <c r="A30" t="s">
        <v>34</v>
      </c>
      <c r="B30" s="13">
        <v>275</v>
      </c>
      <c r="C30" t="s">
        <v>13</v>
      </c>
      <c r="D30" t="s">
        <v>49</v>
      </c>
      <c r="E30" s="13" t="s">
        <v>7</v>
      </c>
      <c r="F30" s="9">
        <v>390998.72436777572</v>
      </c>
      <c r="G30" s="14">
        <v>126160.70358229025</v>
      </c>
      <c r="H30" s="15">
        <v>17986.713931173719</v>
      </c>
      <c r="I30" s="16">
        <v>996.06999999999505</v>
      </c>
      <c r="J30" s="8">
        <f t="shared" si="0"/>
        <v>264838</v>
      </c>
      <c r="K30" s="9">
        <f t="shared" si="1"/>
        <v>14.72</v>
      </c>
      <c r="L30" s="10">
        <f t="shared" si="2"/>
        <v>0.3226626986732129</v>
      </c>
      <c r="M30" s="11">
        <f t="shared" si="3"/>
        <v>18.100000000000001</v>
      </c>
      <c r="N30">
        <f>F30/I30</f>
        <v>392.54141211739903</v>
      </c>
    </row>
    <row r="31" spans="1:14" x14ac:dyDescent="0.25">
      <c r="A31" t="s">
        <v>34</v>
      </c>
      <c r="B31" s="13">
        <v>294</v>
      </c>
      <c r="C31" t="s">
        <v>13</v>
      </c>
      <c r="D31" t="s">
        <v>49</v>
      </c>
      <c r="E31" s="13" t="s">
        <v>7</v>
      </c>
      <c r="F31" s="9">
        <v>174255.83877367069</v>
      </c>
      <c r="G31" s="14">
        <v>38361.541242857951</v>
      </c>
      <c r="H31" s="15">
        <v>7350.2690711143559</v>
      </c>
      <c r="I31" s="16">
        <v>613.91999999999928</v>
      </c>
      <c r="J31" s="8">
        <f t="shared" si="0"/>
        <v>135894</v>
      </c>
      <c r="K31" s="9">
        <f t="shared" si="1"/>
        <v>18.489999999999998</v>
      </c>
      <c r="L31" s="10">
        <f t="shared" si="2"/>
        <v>0.22014494040961924</v>
      </c>
      <c r="M31" s="11">
        <f t="shared" si="3"/>
        <v>12</v>
      </c>
      <c r="N31">
        <f>F31/I31</f>
        <v>283.84128025422024</v>
      </c>
    </row>
    <row r="32" spans="1:14" x14ac:dyDescent="0.25">
      <c r="A32" t="s">
        <v>34</v>
      </c>
      <c r="B32" s="13">
        <v>353</v>
      </c>
      <c r="C32" t="s">
        <v>13</v>
      </c>
      <c r="D32" t="s">
        <v>49</v>
      </c>
      <c r="E32" s="13" t="s">
        <v>7</v>
      </c>
      <c r="F32" s="9">
        <v>712349.52566598216</v>
      </c>
      <c r="G32" s="14">
        <v>364291.5081867798</v>
      </c>
      <c r="H32" s="15">
        <v>61234.721595024501</v>
      </c>
      <c r="I32" s="16">
        <v>1873.0499999999906</v>
      </c>
      <c r="J32" s="8">
        <f t="shared" si="0"/>
        <v>348058</v>
      </c>
      <c r="K32" s="9">
        <f t="shared" si="1"/>
        <v>5.68</v>
      </c>
      <c r="L32" s="10">
        <f t="shared" si="2"/>
        <v>0.51139432969538412</v>
      </c>
      <c r="M32" s="11">
        <f t="shared" si="3"/>
        <v>32.700000000000003</v>
      </c>
      <c r="N32">
        <f>F32/I32</f>
        <v>380.31527490776313</v>
      </c>
    </row>
    <row r="33" spans="1:15" x14ac:dyDescent="0.25">
      <c r="A33" t="s">
        <v>34</v>
      </c>
      <c r="B33" s="13">
        <v>363</v>
      </c>
      <c r="C33" t="s">
        <v>13</v>
      </c>
      <c r="D33" t="s">
        <v>49</v>
      </c>
      <c r="E33" s="13" t="s">
        <v>7</v>
      </c>
      <c r="F33" s="9">
        <v>668021.52462899755</v>
      </c>
      <c r="G33" s="14">
        <v>176604.82139684397</v>
      </c>
      <c r="H33" s="15">
        <v>26540.652637074392</v>
      </c>
      <c r="I33" s="16">
        <v>1710.6299999999994</v>
      </c>
      <c r="J33" s="8">
        <f t="shared" si="0"/>
        <v>491417</v>
      </c>
      <c r="K33" s="9">
        <f t="shared" si="1"/>
        <v>18.52</v>
      </c>
      <c r="L33" s="10">
        <f t="shared" si="2"/>
        <v>0.26436995648444989</v>
      </c>
      <c r="M33" s="11">
        <f t="shared" si="3"/>
        <v>15.5</v>
      </c>
      <c r="N33">
        <f>F33/I33</f>
        <v>390.51198951789559</v>
      </c>
    </row>
    <row r="34" spans="1:15" x14ac:dyDescent="0.25">
      <c r="A34" t="s">
        <v>34</v>
      </c>
      <c r="B34" s="13">
        <v>578</v>
      </c>
      <c r="C34" t="s">
        <v>13</v>
      </c>
      <c r="D34" t="s">
        <v>49</v>
      </c>
      <c r="E34" s="13" t="s">
        <v>7</v>
      </c>
      <c r="F34" s="9">
        <v>201128.32909134642</v>
      </c>
      <c r="G34" s="14">
        <v>65080.955439950703</v>
      </c>
      <c r="H34" s="15">
        <v>9491.6446571927227</v>
      </c>
      <c r="I34" s="16">
        <v>546.09999999999741</v>
      </c>
      <c r="J34" s="8">
        <f t="shared" si="0"/>
        <v>136047</v>
      </c>
      <c r="K34" s="9">
        <f t="shared" si="1"/>
        <v>14.33</v>
      </c>
      <c r="L34" s="10">
        <f t="shared" si="2"/>
        <v>0.32357925775037338</v>
      </c>
      <c r="M34" s="11">
        <f t="shared" si="3"/>
        <v>17.399999999999999</v>
      </c>
      <c r="N34">
        <f>F34/I34</f>
        <v>368.29944898616986</v>
      </c>
    </row>
    <row r="35" spans="1:15" x14ac:dyDescent="0.25">
      <c r="A35" t="s">
        <v>34</v>
      </c>
      <c r="B35" s="13">
        <v>667</v>
      </c>
      <c r="C35" t="s">
        <v>13</v>
      </c>
      <c r="D35" t="s">
        <v>49</v>
      </c>
      <c r="E35" s="13" t="s">
        <v>7</v>
      </c>
      <c r="F35" s="9">
        <v>326529.05182850844</v>
      </c>
      <c r="G35" s="14">
        <v>86715.239198274765</v>
      </c>
      <c r="H35" s="15">
        <v>13842.726419970515</v>
      </c>
      <c r="I35" s="16">
        <v>926.12000000000398</v>
      </c>
      <c r="J35" s="8">
        <f t="shared" si="0"/>
        <v>239814</v>
      </c>
      <c r="K35" s="9">
        <f t="shared" si="1"/>
        <v>17.32</v>
      </c>
      <c r="L35" s="10">
        <f t="shared" si="2"/>
        <v>0.26556668912822251</v>
      </c>
      <c r="M35" s="11">
        <f t="shared" si="3"/>
        <v>14.9</v>
      </c>
      <c r="N35">
        <f>F35/I35</f>
        <v>352.57747573587335</v>
      </c>
    </row>
    <row r="36" spans="1:15" x14ac:dyDescent="0.25">
      <c r="A36" t="s">
        <v>34</v>
      </c>
      <c r="B36" s="13">
        <v>673</v>
      </c>
      <c r="C36" t="s">
        <v>13</v>
      </c>
      <c r="D36" t="s">
        <v>49</v>
      </c>
      <c r="E36" s="13" t="s">
        <v>7</v>
      </c>
      <c r="F36" s="9">
        <v>331678.28239086684</v>
      </c>
      <c r="G36" s="14">
        <v>131376.04764312095</v>
      </c>
      <c r="H36" s="15">
        <v>20178.549030326099</v>
      </c>
      <c r="I36" s="16">
        <v>1064.2699999999977</v>
      </c>
      <c r="J36" s="8">
        <f t="shared" si="0"/>
        <v>200302</v>
      </c>
      <c r="K36" s="9">
        <f t="shared" si="1"/>
        <v>9.93</v>
      </c>
      <c r="L36" s="10">
        <f t="shared" si="2"/>
        <v>0.39609481421608611</v>
      </c>
      <c r="M36" s="11">
        <f t="shared" si="3"/>
        <v>19</v>
      </c>
      <c r="N36">
        <f>F36/I36</f>
        <v>311.64862524628859</v>
      </c>
    </row>
    <row r="37" spans="1:15" x14ac:dyDescent="0.25">
      <c r="A37" t="s">
        <v>34</v>
      </c>
      <c r="B37" s="13">
        <v>755</v>
      </c>
      <c r="C37" t="s">
        <v>13</v>
      </c>
      <c r="D37" t="s">
        <v>49</v>
      </c>
      <c r="E37" s="13" t="s">
        <v>7</v>
      </c>
      <c r="F37" s="9">
        <v>1101173.566185833</v>
      </c>
      <c r="G37" s="14">
        <v>100790.50523755493</v>
      </c>
      <c r="H37" s="15">
        <v>39859.861608902036</v>
      </c>
      <c r="I37" s="16">
        <v>3906.3399999999915</v>
      </c>
      <c r="J37" s="8">
        <f t="shared" si="0"/>
        <v>1000383</v>
      </c>
      <c r="K37" s="9">
        <f t="shared" si="1"/>
        <v>25.1</v>
      </c>
      <c r="L37" s="10">
        <f t="shared" si="2"/>
        <v>9.1530080572734734E-2</v>
      </c>
      <c r="M37" s="11">
        <f t="shared" si="3"/>
        <v>10.199999999999999</v>
      </c>
      <c r="N37">
        <f>F37/I37</f>
        <v>281.89393810723988</v>
      </c>
    </row>
    <row r="38" spans="1:15" x14ac:dyDescent="0.25">
      <c r="A38" t="s">
        <v>34</v>
      </c>
      <c r="B38" s="13">
        <v>760</v>
      </c>
      <c r="C38" t="s">
        <v>13</v>
      </c>
      <c r="D38" t="s">
        <v>49</v>
      </c>
      <c r="E38" s="13" t="s">
        <v>7</v>
      </c>
      <c r="F38" s="9">
        <v>399848.00084320316</v>
      </c>
      <c r="G38" s="14">
        <v>86641.149986488352</v>
      </c>
      <c r="H38" s="15">
        <v>17850.052749931605</v>
      </c>
      <c r="I38" s="16">
        <v>1248.6999999999939</v>
      </c>
      <c r="J38" s="8">
        <f t="shared" si="0"/>
        <v>313207</v>
      </c>
      <c r="K38" s="9">
        <f t="shared" si="1"/>
        <v>17.55</v>
      </c>
      <c r="L38" s="10">
        <f t="shared" si="2"/>
        <v>0.21668521489110534</v>
      </c>
      <c r="M38" s="11">
        <f t="shared" si="3"/>
        <v>14.3</v>
      </c>
      <c r="N38">
        <f>F38/I38</f>
        <v>320.21142055193809</v>
      </c>
    </row>
    <row r="39" spans="1:15" x14ac:dyDescent="0.25">
      <c r="A39" t="s">
        <v>34</v>
      </c>
      <c r="B39" s="13">
        <v>761</v>
      </c>
      <c r="C39" t="s">
        <v>13</v>
      </c>
      <c r="D39" t="s">
        <v>49</v>
      </c>
      <c r="E39" s="13" t="s">
        <v>7</v>
      </c>
      <c r="F39" s="9">
        <v>181345.7796923932</v>
      </c>
      <c r="G39" s="14">
        <v>40954.460927588188</v>
      </c>
      <c r="H39" s="15">
        <v>9534.7454912767753</v>
      </c>
      <c r="I39" s="16">
        <v>589.87999999999988</v>
      </c>
      <c r="J39" s="8">
        <f t="shared" si="0"/>
        <v>140391</v>
      </c>
      <c r="K39" s="9">
        <f t="shared" si="1"/>
        <v>14.72</v>
      </c>
      <c r="L39" s="10">
        <f t="shared" si="2"/>
        <v>0.22583630563146809</v>
      </c>
      <c r="M39" s="11">
        <f t="shared" si="3"/>
        <v>16.2</v>
      </c>
      <c r="N39">
        <f>F39/I39</f>
        <v>307.42825607308816</v>
      </c>
    </row>
    <row r="40" spans="1:15" x14ac:dyDescent="0.25">
      <c r="A40" t="s">
        <v>34</v>
      </c>
      <c r="B40" s="13">
        <v>763</v>
      </c>
      <c r="C40" t="s">
        <v>13</v>
      </c>
      <c r="D40" t="s">
        <v>49</v>
      </c>
      <c r="E40" s="13" t="s">
        <v>7</v>
      </c>
      <c r="F40" s="9">
        <v>139896.19672601501</v>
      </c>
      <c r="G40" s="14">
        <v>37018.563168802888</v>
      </c>
      <c r="H40" s="15">
        <v>6874.057416478372</v>
      </c>
      <c r="I40" s="16">
        <v>483.06000000000046</v>
      </c>
      <c r="J40" s="8">
        <f t="shared" si="0"/>
        <v>102878</v>
      </c>
      <c r="K40" s="9">
        <f t="shared" si="1"/>
        <v>14.97</v>
      </c>
      <c r="L40" s="10">
        <f t="shared" si="2"/>
        <v>0.26461450729288438</v>
      </c>
      <c r="M40" s="11">
        <f t="shared" si="3"/>
        <v>14.2</v>
      </c>
      <c r="N40">
        <f>F40/I40</f>
        <v>289.60418317810394</v>
      </c>
    </row>
    <row r="41" spans="1:15" x14ac:dyDescent="0.25">
      <c r="A41" t="s">
        <v>34</v>
      </c>
      <c r="B41" s="13">
        <v>764</v>
      </c>
      <c r="C41" t="s">
        <v>13</v>
      </c>
      <c r="D41" t="s">
        <v>49</v>
      </c>
      <c r="E41" s="13" t="s">
        <v>7</v>
      </c>
      <c r="F41" s="9">
        <v>109387.14167514991</v>
      </c>
      <c r="G41" s="14">
        <v>40288.312988232072</v>
      </c>
      <c r="H41" s="15">
        <v>6391.5383227081356</v>
      </c>
      <c r="I41" s="16">
        <v>375.18000000000035</v>
      </c>
      <c r="J41" s="8">
        <f t="shared" si="0"/>
        <v>69099</v>
      </c>
      <c r="K41" s="9">
        <f t="shared" si="1"/>
        <v>10.81</v>
      </c>
      <c r="L41" s="10">
        <f t="shared" si="2"/>
        <v>0.36830940429796966</v>
      </c>
      <c r="M41" s="11">
        <f t="shared" si="3"/>
        <v>17</v>
      </c>
      <c r="N41">
        <f>F41/I41</f>
        <v>291.55909610093772</v>
      </c>
    </row>
    <row r="42" spans="1:15" x14ac:dyDescent="0.25">
      <c r="A42" t="s">
        <v>34</v>
      </c>
      <c r="B42" s="13">
        <v>766</v>
      </c>
      <c r="C42" t="s">
        <v>13</v>
      </c>
      <c r="D42" t="s">
        <v>49</v>
      </c>
      <c r="E42" s="13" t="s">
        <v>7</v>
      </c>
      <c r="F42" s="9">
        <v>695127.98843823455</v>
      </c>
      <c r="G42" s="14">
        <v>132368.47817102843</v>
      </c>
      <c r="H42" s="15">
        <v>26842.358475662757</v>
      </c>
      <c r="I42" s="16">
        <v>2077.1200000000072</v>
      </c>
      <c r="J42" s="8">
        <f t="shared" si="0"/>
        <v>562760</v>
      </c>
      <c r="K42" s="9">
        <f t="shared" si="1"/>
        <v>20.97</v>
      </c>
      <c r="L42" s="10">
        <f t="shared" si="2"/>
        <v>0.19042317439760231</v>
      </c>
      <c r="M42" s="11">
        <f t="shared" si="3"/>
        <v>12.9</v>
      </c>
      <c r="N42">
        <f>F42/I42</f>
        <v>334.65952301178174</v>
      </c>
    </row>
    <row r="43" spans="1:15" x14ac:dyDescent="0.25">
      <c r="A43" t="s">
        <v>34</v>
      </c>
      <c r="B43" s="13">
        <v>768</v>
      </c>
      <c r="C43" t="s">
        <v>13</v>
      </c>
      <c r="D43" t="s">
        <v>49</v>
      </c>
      <c r="E43" s="13" t="s">
        <v>7</v>
      </c>
      <c r="F43" s="9">
        <v>696626.14428342518</v>
      </c>
      <c r="G43" s="14">
        <v>327232.74253681808</v>
      </c>
      <c r="H43" s="15">
        <v>47873.463028968501</v>
      </c>
      <c r="I43" s="16">
        <v>1686.1399999999917</v>
      </c>
      <c r="J43" s="8">
        <f t="shared" si="0"/>
        <v>369393</v>
      </c>
      <c r="K43" s="9">
        <f t="shared" si="1"/>
        <v>7.72</v>
      </c>
      <c r="L43" s="10">
        <f t="shared" si="2"/>
        <v>0.46973939353571276</v>
      </c>
      <c r="M43" s="11">
        <f t="shared" si="3"/>
        <v>28.4</v>
      </c>
      <c r="N43">
        <f>F43/I43</f>
        <v>413.14845996383968</v>
      </c>
    </row>
    <row r="44" spans="1:15" x14ac:dyDescent="0.25">
      <c r="A44" t="s">
        <v>34</v>
      </c>
      <c r="B44" s="13">
        <v>824</v>
      </c>
      <c r="C44" t="s">
        <v>13</v>
      </c>
      <c r="D44" t="s">
        <v>49</v>
      </c>
      <c r="E44" s="13" t="s">
        <v>7</v>
      </c>
      <c r="F44" s="9">
        <v>220958.03593821169</v>
      </c>
      <c r="G44" s="14">
        <v>46758.947554632243</v>
      </c>
      <c r="H44" s="15">
        <v>11228.292898823289</v>
      </c>
      <c r="I44" s="16">
        <v>704.729999999999</v>
      </c>
      <c r="J44" s="8">
        <f t="shared" si="0"/>
        <v>174199</v>
      </c>
      <c r="K44" s="9">
        <f t="shared" si="1"/>
        <v>15.51</v>
      </c>
      <c r="L44" s="10">
        <f t="shared" si="2"/>
        <v>0.21161913100869448</v>
      </c>
      <c r="M44" s="11">
        <f t="shared" si="3"/>
        <v>15.9</v>
      </c>
      <c r="N44">
        <f>F44/I44</f>
        <v>313.53573132719197</v>
      </c>
    </row>
    <row r="45" spans="1:15" x14ac:dyDescent="0.25">
      <c r="A45" t="s">
        <v>34</v>
      </c>
      <c r="B45" s="13">
        <v>850</v>
      </c>
      <c r="C45" t="s">
        <v>13</v>
      </c>
      <c r="D45" t="s">
        <v>49</v>
      </c>
      <c r="E45" s="13" t="s">
        <v>7</v>
      </c>
      <c r="F45" s="9">
        <v>1155531.5936440281</v>
      </c>
      <c r="G45" s="14">
        <v>554583.65259583341</v>
      </c>
      <c r="H45" s="15">
        <v>80457.693596511497</v>
      </c>
      <c r="I45" s="16">
        <v>3233.719999999988</v>
      </c>
      <c r="J45" s="8">
        <f t="shared" si="0"/>
        <v>600948</v>
      </c>
      <c r="K45" s="9">
        <f t="shared" si="1"/>
        <v>7.47</v>
      </c>
      <c r="L45" s="10">
        <f t="shared" si="2"/>
        <v>0.47993811302633921</v>
      </c>
      <c r="M45" s="11">
        <f t="shared" si="3"/>
        <v>24.9</v>
      </c>
      <c r="N45">
        <f>F45/I45</f>
        <v>357.33817202603575</v>
      </c>
    </row>
    <row r="46" spans="1:15" x14ac:dyDescent="0.25">
      <c r="A46" t="s">
        <v>34</v>
      </c>
      <c r="B46" s="13">
        <v>852</v>
      </c>
      <c r="C46" t="s">
        <v>13</v>
      </c>
      <c r="D46" t="s">
        <v>49</v>
      </c>
      <c r="E46" s="13" t="s">
        <v>7</v>
      </c>
      <c r="F46" s="9">
        <v>2481615.3526526755</v>
      </c>
      <c r="G46" s="14">
        <v>202982.32737073788</v>
      </c>
      <c r="H46" s="15">
        <v>84912.848105004436</v>
      </c>
      <c r="I46" s="16">
        <v>10012.199999999979</v>
      </c>
      <c r="J46" s="8">
        <f t="shared" si="0"/>
        <v>2278633</v>
      </c>
      <c r="K46" s="9">
        <f t="shared" si="1"/>
        <v>26.83</v>
      </c>
      <c r="L46" s="10">
        <f t="shared" si="2"/>
        <v>8.1794435690351358E-2</v>
      </c>
      <c r="M46" s="11">
        <f t="shared" si="3"/>
        <v>8.5</v>
      </c>
      <c r="N46">
        <f>F46/I46</f>
        <v>247.859147105799</v>
      </c>
    </row>
    <row r="47" spans="1:15" x14ac:dyDescent="0.25">
      <c r="A47" t="s">
        <v>34</v>
      </c>
      <c r="B47" s="13">
        <v>852</v>
      </c>
      <c r="C47" t="s">
        <v>13</v>
      </c>
      <c r="D47" t="s">
        <v>49</v>
      </c>
      <c r="E47" s="13" t="s">
        <v>15</v>
      </c>
      <c r="F47" s="9">
        <v>222066.23596413573</v>
      </c>
      <c r="G47" s="14">
        <v>6852.2150596020601</v>
      </c>
      <c r="H47" s="15">
        <v>6692.1929214407883</v>
      </c>
      <c r="I47" s="16">
        <v>915.09000000000083</v>
      </c>
      <c r="J47" s="8">
        <f t="shared" si="0"/>
        <v>215214</v>
      </c>
      <c r="K47" s="9">
        <f t="shared" si="1"/>
        <v>32.159999999999997</v>
      </c>
      <c r="L47" s="10">
        <f t="shared" si="2"/>
        <v>3.0856627212381402E-2</v>
      </c>
      <c r="M47" s="11">
        <f t="shared" si="3"/>
        <v>7.3</v>
      </c>
      <c r="N47">
        <f>F47/I47</f>
        <v>242.67147052654443</v>
      </c>
      <c r="O47" s="15"/>
    </row>
    <row r="48" spans="1:15" x14ac:dyDescent="0.25">
      <c r="A48" t="s">
        <v>34</v>
      </c>
      <c r="B48" s="13">
        <v>2</v>
      </c>
      <c r="C48" t="s">
        <v>35</v>
      </c>
      <c r="D48" t="s">
        <v>49</v>
      </c>
      <c r="E48" s="13" t="s">
        <v>7</v>
      </c>
      <c r="F48" s="9">
        <v>6760486.2913756091</v>
      </c>
      <c r="G48" s="14">
        <v>1294912.1715960742</v>
      </c>
      <c r="H48" s="15">
        <v>774641.8298339576</v>
      </c>
      <c r="I48" s="16">
        <v>26390.62999999999</v>
      </c>
      <c r="J48" s="8">
        <f t="shared" si="0"/>
        <v>5465574</v>
      </c>
      <c r="K48" s="9">
        <f t="shared" si="1"/>
        <v>7.06</v>
      </c>
      <c r="L48" s="10">
        <f t="shared" si="2"/>
        <v>0.19154127614281255</v>
      </c>
      <c r="M48" s="11">
        <f t="shared" si="3"/>
        <v>29.4</v>
      </c>
      <c r="N48">
        <f>F48/I48</f>
        <v>256.16994711288106</v>
      </c>
    </row>
    <row r="49" spans="1:14" x14ac:dyDescent="0.25">
      <c r="A49" t="s">
        <v>34</v>
      </c>
      <c r="B49" s="13">
        <v>3</v>
      </c>
      <c r="C49" t="s">
        <v>35</v>
      </c>
      <c r="D49" t="s">
        <v>49</v>
      </c>
      <c r="E49" s="13" t="s">
        <v>7</v>
      </c>
      <c r="F49" s="9">
        <v>10248135.059052255</v>
      </c>
      <c r="G49" s="14">
        <v>2203073.6050665551</v>
      </c>
      <c r="H49" s="15">
        <v>929157.26878542686</v>
      </c>
      <c r="I49" s="16">
        <v>43237.419999999845</v>
      </c>
      <c r="J49" s="8">
        <f t="shared" si="0"/>
        <v>8045061</v>
      </c>
      <c r="K49" s="9">
        <f t="shared" si="1"/>
        <v>8.66</v>
      </c>
      <c r="L49" s="10">
        <f t="shared" si="2"/>
        <v>0.21497312363390095</v>
      </c>
      <c r="M49" s="11">
        <f t="shared" si="3"/>
        <v>21.5</v>
      </c>
      <c r="N49">
        <f>F49/I49</f>
        <v>237.02004095184893</v>
      </c>
    </row>
    <row r="50" spans="1:14" x14ac:dyDescent="0.25">
      <c r="A50" t="s">
        <v>34</v>
      </c>
      <c r="B50" s="13">
        <v>4</v>
      </c>
      <c r="C50" t="s">
        <v>35</v>
      </c>
      <c r="D50" t="s">
        <v>49</v>
      </c>
      <c r="E50" s="13" t="s">
        <v>7</v>
      </c>
      <c r="F50" s="9">
        <v>9171151.4498971682</v>
      </c>
      <c r="G50" s="14">
        <v>1189698.0990920544</v>
      </c>
      <c r="H50" s="15">
        <v>663906.32591332775</v>
      </c>
      <c r="I50" s="16">
        <v>38410.469999999994</v>
      </c>
      <c r="J50" s="8">
        <f t="shared" si="0"/>
        <v>7981453</v>
      </c>
      <c r="K50" s="9">
        <f t="shared" si="1"/>
        <v>12.02</v>
      </c>
      <c r="L50" s="10">
        <f t="shared" si="2"/>
        <v>0.12972178091175171</v>
      </c>
      <c r="M50" s="11">
        <f t="shared" si="3"/>
        <v>17.3</v>
      </c>
      <c r="N50">
        <f>F50/I50</f>
        <v>238.76696770170139</v>
      </c>
    </row>
    <row r="51" spans="1:14" x14ac:dyDescent="0.25">
      <c r="A51" t="s">
        <v>34</v>
      </c>
      <c r="B51" s="13">
        <v>6</v>
      </c>
      <c r="C51" t="s">
        <v>35</v>
      </c>
      <c r="D51" t="s">
        <v>49</v>
      </c>
      <c r="E51" s="13" t="s">
        <v>7</v>
      </c>
      <c r="F51" s="9">
        <v>10894906.712153111</v>
      </c>
      <c r="G51" s="14">
        <v>1574322.6281055005</v>
      </c>
      <c r="H51" s="15">
        <v>877141.92072496656</v>
      </c>
      <c r="I51" s="16">
        <v>44013.259999999791</v>
      </c>
      <c r="J51" s="8">
        <f t="shared" si="0"/>
        <v>9320584</v>
      </c>
      <c r="K51" s="9">
        <f t="shared" si="1"/>
        <v>10.63</v>
      </c>
      <c r="L51" s="10">
        <f t="shared" si="2"/>
        <v>0.14450079011226102</v>
      </c>
      <c r="M51" s="11">
        <f t="shared" si="3"/>
        <v>19.899999999999999</v>
      </c>
      <c r="N51">
        <f>F51/I51</f>
        <v>247.5369175596891</v>
      </c>
    </row>
    <row r="52" spans="1:14" x14ac:dyDescent="0.25">
      <c r="A52" t="s">
        <v>34</v>
      </c>
      <c r="B52" s="13">
        <v>7</v>
      </c>
      <c r="C52" t="s">
        <v>35</v>
      </c>
      <c r="D52" t="s">
        <v>49</v>
      </c>
      <c r="E52" s="13" t="s">
        <v>7</v>
      </c>
      <c r="F52" s="9">
        <v>4112325.3426828543</v>
      </c>
      <c r="G52" s="14">
        <v>272716.71220759582</v>
      </c>
      <c r="H52" s="15">
        <v>189379.80876604409</v>
      </c>
      <c r="I52" s="16">
        <v>18163.38000000003</v>
      </c>
      <c r="J52" s="8">
        <f t="shared" si="0"/>
        <v>3839609</v>
      </c>
      <c r="K52" s="9">
        <f t="shared" si="1"/>
        <v>20.27</v>
      </c>
      <c r="L52" s="10">
        <f t="shared" si="2"/>
        <v>6.6316910624021105E-2</v>
      </c>
      <c r="M52" s="11">
        <f t="shared" si="3"/>
        <v>10.4</v>
      </c>
      <c r="N52">
        <f>F52/I52</f>
        <v>226.4074936869045</v>
      </c>
    </row>
    <row r="53" spans="1:14" x14ac:dyDescent="0.25">
      <c r="A53" t="s">
        <v>34</v>
      </c>
      <c r="B53" s="13">
        <v>9</v>
      </c>
      <c r="C53" t="s">
        <v>35</v>
      </c>
      <c r="D53" t="s">
        <v>49</v>
      </c>
      <c r="E53" s="13" t="s">
        <v>7</v>
      </c>
      <c r="F53" s="9">
        <v>5202422.3498534001</v>
      </c>
      <c r="G53" s="14">
        <v>482365.88346123497</v>
      </c>
      <c r="H53" s="15">
        <v>312473.68843038392</v>
      </c>
      <c r="I53" s="16">
        <v>19995.84000000004</v>
      </c>
      <c r="J53" s="8">
        <f t="shared" si="0"/>
        <v>4720056</v>
      </c>
      <c r="K53" s="9">
        <f t="shared" si="1"/>
        <v>15.11</v>
      </c>
      <c r="L53" s="10">
        <f t="shared" si="2"/>
        <v>9.2719477778429052E-2</v>
      </c>
      <c r="M53" s="11">
        <f t="shared" si="3"/>
        <v>15.6</v>
      </c>
      <c r="N53">
        <f>F53/I53</f>
        <v>260.17523394132928</v>
      </c>
    </row>
    <row r="54" spans="1:14" x14ac:dyDescent="0.25">
      <c r="A54" t="s">
        <v>34</v>
      </c>
      <c r="B54" s="13">
        <v>10</v>
      </c>
      <c r="C54" t="s">
        <v>35</v>
      </c>
      <c r="D54" t="s">
        <v>49</v>
      </c>
      <c r="E54" s="13" t="s">
        <v>7</v>
      </c>
      <c r="F54" s="9">
        <v>9365521.7539531514</v>
      </c>
      <c r="G54" s="14">
        <v>970120.20933119161</v>
      </c>
      <c r="H54" s="15">
        <v>918028.8436728958</v>
      </c>
      <c r="I54" s="16">
        <v>38751.780000000093</v>
      </c>
      <c r="J54" s="8">
        <f t="shared" si="0"/>
        <v>8395402</v>
      </c>
      <c r="K54" s="9">
        <f t="shared" si="1"/>
        <v>9.15</v>
      </c>
      <c r="L54" s="10">
        <f t="shared" si="2"/>
        <v>0.10358421397309846</v>
      </c>
      <c r="M54" s="11">
        <f t="shared" si="3"/>
        <v>23.7</v>
      </c>
      <c r="N54">
        <f>F54/I54</f>
        <v>241.6797822952424</v>
      </c>
    </row>
    <row r="55" spans="1:14" x14ac:dyDescent="0.25">
      <c r="A55" t="s">
        <v>34</v>
      </c>
      <c r="B55" s="13">
        <v>11</v>
      </c>
      <c r="C55" t="s">
        <v>35</v>
      </c>
      <c r="D55" t="s">
        <v>49</v>
      </c>
      <c r="E55" s="13" t="s">
        <v>7</v>
      </c>
      <c r="F55" s="9">
        <v>7999448.479115448</v>
      </c>
      <c r="G55" s="14">
        <v>938264.20302433555</v>
      </c>
      <c r="H55" s="15">
        <v>638722.82392997306</v>
      </c>
      <c r="I55" s="16">
        <v>32284.940000000097</v>
      </c>
      <c r="J55" s="8">
        <f t="shared" si="0"/>
        <v>7061184</v>
      </c>
      <c r="K55" s="9">
        <f t="shared" si="1"/>
        <v>11.06</v>
      </c>
      <c r="L55" s="10">
        <f t="shared" si="2"/>
        <v>0.11729111144023339</v>
      </c>
      <c r="M55" s="11">
        <f t="shared" si="3"/>
        <v>19.8</v>
      </c>
      <c r="N55">
        <f>F55/I55</f>
        <v>247.77647036405904</v>
      </c>
    </row>
    <row r="56" spans="1:14" x14ac:dyDescent="0.25">
      <c r="A56" t="s">
        <v>34</v>
      </c>
      <c r="B56" s="13">
        <v>14</v>
      </c>
      <c r="C56" t="s">
        <v>35</v>
      </c>
      <c r="D56" t="s">
        <v>49</v>
      </c>
      <c r="E56" s="13" t="s">
        <v>7</v>
      </c>
      <c r="F56" s="9">
        <v>8214132.7607333465</v>
      </c>
      <c r="G56" s="14">
        <v>905672.41957782314</v>
      </c>
      <c r="H56" s="15">
        <v>653547.40837517544</v>
      </c>
      <c r="I56" s="16">
        <v>34269.560000000041</v>
      </c>
      <c r="J56" s="8">
        <f t="shared" si="0"/>
        <v>7308460</v>
      </c>
      <c r="K56" s="9">
        <f t="shared" si="1"/>
        <v>11.18</v>
      </c>
      <c r="L56" s="10">
        <f t="shared" si="2"/>
        <v>0.11025782586656975</v>
      </c>
      <c r="M56" s="11">
        <f t="shared" si="3"/>
        <v>19.100000000000001</v>
      </c>
      <c r="N56">
        <f>F56/I56</f>
        <v>239.69180697777668</v>
      </c>
    </row>
    <row r="57" spans="1:14" x14ac:dyDescent="0.25">
      <c r="A57" t="s">
        <v>34</v>
      </c>
      <c r="B57" s="13">
        <v>17</v>
      </c>
      <c r="C57" t="s">
        <v>35</v>
      </c>
      <c r="D57" t="s">
        <v>49</v>
      </c>
      <c r="E57" s="13" t="s">
        <v>7</v>
      </c>
      <c r="F57" s="9">
        <v>8096667.1854813695</v>
      </c>
      <c r="G57" s="14">
        <v>935405.97503395972</v>
      </c>
      <c r="H57" s="15">
        <v>746146.92230512085</v>
      </c>
      <c r="I57" s="16">
        <v>32521.879999999899</v>
      </c>
      <c r="J57" s="8">
        <f t="shared" si="0"/>
        <v>7161261</v>
      </c>
      <c r="K57" s="9">
        <f t="shared" si="1"/>
        <v>9.6</v>
      </c>
      <c r="L57" s="10">
        <f t="shared" si="2"/>
        <v>0.11552975484916726</v>
      </c>
      <c r="M57" s="11">
        <f t="shared" si="3"/>
        <v>22.9</v>
      </c>
      <c r="N57">
        <f>F57/I57</f>
        <v>248.96061314663834</v>
      </c>
    </row>
    <row r="58" spans="1:14" x14ac:dyDescent="0.25">
      <c r="A58" t="s">
        <v>34</v>
      </c>
      <c r="B58" s="13">
        <v>18</v>
      </c>
      <c r="C58" t="s">
        <v>35</v>
      </c>
      <c r="D58" t="s">
        <v>49</v>
      </c>
      <c r="E58" s="13" t="s">
        <v>7</v>
      </c>
      <c r="F58" s="9">
        <v>10563612.944337485</v>
      </c>
      <c r="G58" s="14">
        <v>1423706.8862276613</v>
      </c>
      <c r="H58" s="15">
        <v>1246767.3151508027</v>
      </c>
      <c r="I58" s="16">
        <v>43336.079999999842</v>
      </c>
      <c r="J58" s="8">
        <f t="shared" si="0"/>
        <v>9139906</v>
      </c>
      <c r="K58" s="9">
        <f t="shared" si="1"/>
        <v>7.33</v>
      </c>
      <c r="L58" s="10">
        <f t="shared" si="2"/>
        <v>0.13477461676507416</v>
      </c>
      <c r="M58" s="11">
        <f t="shared" si="3"/>
        <v>28.8</v>
      </c>
      <c r="N58">
        <f>F58/I58</f>
        <v>243.76023268227129</v>
      </c>
    </row>
    <row r="59" spans="1:14" x14ac:dyDescent="0.25">
      <c r="A59" t="s">
        <v>34</v>
      </c>
      <c r="B59" s="13">
        <v>21</v>
      </c>
      <c r="C59" t="s">
        <v>35</v>
      </c>
      <c r="D59" t="s">
        <v>49</v>
      </c>
      <c r="E59" s="13" t="s">
        <v>7</v>
      </c>
      <c r="F59" s="9">
        <v>13351486.901208643</v>
      </c>
      <c r="G59" s="14">
        <v>1857629.5908037324</v>
      </c>
      <c r="H59" s="15">
        <v>1576759.9157765703</v>
      </c>
      <c r="I59" s="16">
        <v>55727.649999999929</v>
      </c>
      <c r="J59" s="8">
        <f t="shared" si="0"/>
        <v>11493857</v>
      </c>
      <c r="K59" s="9">
        <f t="shared" si="1"/>
        <v>7.29</v>
      </c>
      <c r="L59" s="10">
        <f t="shared" si="2"/>
        <v>0.13913278757256398</v>
      </c>
      <c r="M59" s="11">
        <f t="shared" si="3"/>
        <v>28.3</v>
      </c>
      <c r="N59">
        <f>F59/I59</f>
        <v>239.58460299705192</v>
      </c>
    </row>
    <row r="60" spans="1:14" x14ac:dyDescent="0.25">
      <c r="A60" t="s">
        <v>34</v>
      </c>
      <c r="B60" s="13">
        <v>22</v>
      </c>
      <c r="C60" t="s">
        <v>35</v>
      </c>
      <c r="D60" t="s">
        <v>49</v>
      </c>
      <c r="E60" s="13" t="s">
        <v>7</v>
      </c>
      <c r="F60" s="9">
        <v>9082397.5054313317</v>
      </c>
      <c r="G60" s="14">
        <v>966549.40873644431</v>
      </c>
      <c r="H60" s="15">
        <v>648578.19757724099</v>
      </c>
      <c r="I60" s="16">
        <v>39059.340000000004</v>
      </c>
      <c r="J60" s="8">
        <f t="shared" si="0"/>
        <v>8115848</v>
      </c>
      <c r="K60" s="9">
        <f t="shared" si="1"/>
        <v>12.51</v>
      </c>
      <c r="L60" s="10">
        <f t="shared" si="2"/>
        <v>0.10642007335160585</v>
      </c>
      <c r="M60" s="11">
        <f t="shared" si="3"/>
        <v>16.600000000000001</v>
      </c>
      <c r="N60">
        <f>F60/I60</f>
        <v>232.52818673923653</v>
      </c>
    </row>
    <row r="61" spans="1:14" x14ac:dyDescent="0.25">
      <c r="A61" t="s">
        <v>34</v>
      </c>
      <c r="B61" s="13">
        <v>25</v>
      </c>
      <c r="C61" t="s">
        <v>35</v>
      </c>
      <c r="D61" t="s">
        <v>49</v>
      </c>
      <c r="E61" s="13" t="s">
        <v>7</v>
      </c>
      <c r="F61" s="9">
        <v>2977669.988479712</v>
      </c>
      <c r="G61" s="14">
        <v>226611.01598567958</v>
      </c>
      <c r="H61" s="15">
        <v>109273.22928133924</v>
      </c>
      <c r="I61" s="16">
        <v>11833.699999999981</v>
      </c>
      <c r="J61" s="8">
        <f t="shared" si="0"/>
        <v>2751059</v>
      </c>
      <c r="K61" s="9">
        <f t="shared" si="1"/>
        <v>25.18</v>
      </c>
      <c r="L61" s="10">
        <f t="shared" si="2"/>
        <v>7.6103469109207358E-2</v>
      </c>
      <c r="M61" s="11">
        <f t="shared" si="3"/>
        <v>9.1999999999999993</v>
      </c>
      <c r="N61">
        <f>F61/I61</f>
        <v>251.62628666264285</v>
      </c>
    </row>
    <row r="62" spans="1:14" x14ac:dyDescent="0.25">
      <c r="A62" t="s">
        <v>34</v>
      </c>
      <c r="B62" s="13">
        <v>54</v>
      </c>
      <c r="C62" t="s">
        <v>35</v>
      </c>
      <c r="D62" t="s">
        <v>49</v>
      </c>
      <c r="E62" s="13" t="s">
        <v>7</v>
      </c>
      <c r="F62" s="9">
        <v>8195222.6241208361</v>
      </c>
      <c r="G62" s="14">
        <v>962149.56062197406</v>
      </c>
      <c r="H62" s="15">
        <v>765008.26779624412</v>
      </c>
      <c r="I62" s="16">
        <v>33911.850000000049</v>
      </c>
      <c r="J62" s="8">
        <f t="shared" si="0"/>
        <v>7233073</v>
      </c>
      <c r="K62" s="9">
        <f t="shared" si="1"/>
        <v>9.4499999999999993</v>
      </c>
      <c r="L62" s="10">
        <f t="shared" si="2"/>
        <v>0.11740371247391113</v>
      </c>
      <c r="M62" s="11">
        <f t="shared" si="3"/>
        <v>22.6</v>
      </c>
      <c r="N62">
        <f>F62/I62</f>
        <v>241.66250511608254</v>
      </c>
    </row>
    <row r="63" spans="1:14" x14ac:dyDescent="0.25">
      <c r="A63" t="s">
        <v>34</v>
      </c>
      <c r="B63" s="13">
        <v>61</v>
      </c>
      <c r="C63" t="s">
        <v>35</v>
      </c>
      <c r="D63" t="s">
        <v>49</v>
      </c>
      <c r="E63" s="13" t="s">
        <v>7</v>
      </c>
      <c r="F63" s="9">
        <v>5151138.6252494585</v>
      </c>
      <c r="G63" s="14">
        <v>705061.82027321332</v>
      </c>
      <c r="H63" s="15">
        <v>348692.05517911148</v>
      </c>
      <c r="I63" s="16">
        <v>21518.149999999991</v>
      </c>
      <c r="J63" s="8">
        <f t="shared" si="0"/>
        <v>4446077</v>
      </c>
      <c r="K63" s="9">
        <f t="shared" si="1"/>
        <v>12.75</v>
      </c>
      <c r="L63" s="10">
        <f t="shared" si="2"/>
        <v>0.13687494582599566</v>
      </c>
      <c r="M63" s="11">
        <f t="shared" si="3"/>
        <v>16.2</v>
      </c>
      <c r="N63">
        <f>F63/I63</f>
        <v>239.38575691913388</v>
      </c>
    </row>
    <row r="64" spans="1:14" x14ac:dyDescent="0.25">
      <c r="A64" t="s">
        <v>34</v>
      </c>
      <c r="B64" s="13">
        <v>62</v>
      </c>
      <c r="C64" t="s">
        <v>35</v>
      </c>
      <c r="D64" t="s">
        <v>49</v>
      </c>
      <c r="E64" s="13" t="s">
        <v>7</v>
      </c>
      <c r="F64" s="9">
        <v>5131439.5082583455</v>
      </c>
      <c r="G64" s="14">
        <v>529339.5041561434</v>
      </c>
      <c r="H64" s="15">
        <v>366796.50797412457</v>
      </c>
      <c r="I64" s="16">
        <v>20183.670000000078</v>
      </c>
      <c r="J64" s="8">
        <f t="shared" si="0"/>
        <v>4602100</v>
      </c>
      <c r="K64" s="9">
        <f t="shared" si="1"/>
        <v>12.55</v>
      </c>
      <c r="L64" s="10">
        <f t="shared" si="2"/>
        <v>0.10315614230748396</v>
      </c>
      <c r="M64" s="11">
        <f t="shared" si="3"/>
        <v>18.2</v>
      </c>
      <c r="N64">
        <f>F64/I64</f>
        <v>254.23718819512635</v>
      </c>
    </row>
    <row r="65" spans="1:15" x14ac:dyDescent="0.25">
      <c r="A65" t="s">
        <v>34</v>
      </c>
      <c r="B65" s="13">
        <v>63</v>
      </c>
      <c r="C65" t="s">
        <v>35</v>
      </c>
      <c r="D65" t="s">
        <v>49</v>
      </c>
      <c r="E65" s="13" t="s">
        <v>7</v>
      </c>
      <c r="F65" s="9">
        <v>7603472.8302449258</v>
      </c>
      <c r="G65" s="14">
        <v>1135096.9854667881</v>
      </c>
      <c r="H65" s="15">
        <v>687124.00936650729</v>
      </c>
      <c r="I65" s="16">
        <v>32261.209999999803</v>
      </c>
      <c r="J65" s="8">
        <f t="shared" si="0"/>
        <v>6468376</v>
      </c>
      <c r="K65" s="9">
        <f t="shared" si="1"/>
        <v>9.41</v>
      </c>
      <c r="L65" s="10">
        <f t="shared" si="2"/>
        <v>0.14928664977293329</v>
      </c>
      <c r="M65" s="11">
        <f t="shared" si="3"/>
        <v>21.3</v>
      </c>
      <c r="N65">
        <f>F65/I65</f>
        <v>235.68467612482522</v>
      </c>
    </row>
    <row r="66" spans="1:15" x14ac:dyDescent="0.25">
      <c r="A66" t="s">
        <v>34</v>
      </c>
      <c r="B66" s="13">
        <v>64</v>
      </c>
      <c r="C66" t="s">
        <v>35</v>
      </c>
      <c r="D66" t="s">
        <v>49</v>
      </c>
      <c r="E66" s="13" t="s">
        <v>7</v>
      </c>
      <c r="F66" s="9">
        <v>7034997.0506615313</v>
      </c>
      <c r="G66" s="14">
        <v>736432.55861703621</v>
      </c>
      <c r="H66" s="15">
        <v>587185.79000386025</v>
      </c>
      <c r="I66" s="16">
        <v>28599.860000000179</v>
      </c>
      <c r="J66" s="8">
        <f t="shared" ref="J66:J129" si="4">ROUND(F66-G66,0)</f>
        <v>6298564</v>
      </c>
      <c r="K66" s="9">
        <f t="shared" ref="K66:K129" si="5">ROUND(J66/H66,2)</f>
        <v>10.73</v>
      </c>
      <c r="L66" s="10">
        <f t="shared" ref="L66:L129" si="6">+G66/F66</f>
        <v>0.10468128889233667</v>
      </c>
      <c r="M66" s="11">
        <f t="shared" ref="M66:M129" si="7">ROUND(H66/I66,1)</f>
        <v>20.5</v>
      </c>
      <c r="N66">
        <f>F66/I66</f>
        <v>245.98012195379584</v>
      </c>
    </row>
    <row r="67" spans="1:15" x14ac:dyDescent="0.25">
      <c r="A67" t="s">
        <v>34</v>
      </c>
      <c r="B67" s="13">
        <v>68</v>
      </c>
      <c r="C67" t="s">
        <v>35</v>
      </c>
      <c r="D67" t="s">
        <v>49</v>
      </c>
      <c r="E67" s="13" t="s">
        <v>7</v>
      </c>
      <c r="F67" s="9">
        <v>6351819.8477729233</v>
      </c>
      <c r="G67" s="14">
        <v>508657.41725567647</v>
      </c>
      <c r="H67" s="15">
        <v>435696.87059697596</v>
      </c>
      <c r="I67" s="16">
        <v>26952.960000000108</v>
      </c>
      <c r="J67" s="8">
        <f t="shared" si="4"/>
        <v>5843162</v>
      </c>
      <c r="K67" s="9">
        <f t="shared" si="5"/>
        <v>13.41</v>
      </c>
      <c r="L67" s="10">
        <f t="shared" si="6"/>
        <v>8.0080579967018756E-2</v>
      </c>
      <c r="M67" s="11">
        <f t="shared" si="7"/>
        <v>16.2</v>
      </c>
      <c r="N67">
        <f>F67/I67</f>
        <v>235.66316455680183</v>
      </c>
    </row>
    <row r="68" spans="1:15" x14ac:dyDescent="0.25">
      <c r="A68" t="s">
        <v>34</v>
      </c>
      <c r="B68" s="13">
        <v>70</v>
      </c>
      <c r="C68" t="s">
        <v>35</v>
      </c>
      <c r="D68" t="s">
        <v>49</v>
      </c>
      <c r="E68" s="13" t="s">
        <v>7</v>
      </c>
      <c r="F68" s="9">
        <v>787703.49993286468</v>
      </c>
      <c r="G68" s="14">
        <v>76179.927940036796</v>
      </c>
      <c r="H68" s="15">
        <v>42666.672023643936</v>
      </c>
      <c r="I68" s="16">
        <v>3232.0799999999863</v>
      </c>
      <c r="J68" s="8">
        <f t="shared" si="4"/>
        <v>711524</v>
      </c>
      <c r="K68" s="9">
        <f t="shared" si="5"/>
        <v>16.68</v>
      </c>
      <c r="L68" s="10">
        <f t="shared" si="6"/>
        <v>9.6711424979741167E-2</v>
      </c>
      <c r="M68" s="11">
        <f t="shared" si="7"/>
        <v>13.2</v>
      </c>
      <c r="N68">
        <f>F68/I68</f>
        <v>243.71410977849189</v>
      </c>
    </row>
    <row r="69" spans="1:15" x14ac:dyDescent="0.25">
      <c r="A69" t="s">
        <v>34</v>
      </c>
      <c r="B69" s="13">
        <v>71</v>
      </c>
      <c r="C69" t="s">
        <v>35</v>
      </c>
      <c r="D69" t="s">
        <v>49</v>
      </c>
      <c r="E69" s="13" t="s">
        <v>7</v>
      </c>
      <c r="F69" s="9">
        <v>3697279.9473761041</v>
      </c>
      <c r="G69" s="14">
        <v>229589.63309729125</v>
      </c>
      <c r="H69" s="15">
        <v>163952.41913616506</v>
      </c>
      <c r="I69" s="16">
        <v>13919.759999999953</v>
      </c>
      <c r="J69" s="8">
        <f t="shared" si="4"/>
        <v>3467690</v>
      </c>
      <c r="K69" s="9">
        <f t="shared" si="5"/>
        <v>21.15</v>
      </c>
      <c r="L69" s="10">
        <f t="shared" si="6"/>
        <v>6.2096902686589114E-2</v>
      </c>
      <c r="M69" s="11">
        <f t="shared" si="7"/>
        <v>11.8</v>
      </c>
      <c r="N69">
        <f>F69/I69</f>
        <v>265.61377116962626</v>
      </c>
    </row>
    <row r="70" spans="1:15" x14ac:dyDescent="0.25">
      <c r="A70" t="s">
        <v>34</v>
      </c>
      <c r="B70" s="13">
        <v>74</v>
      </c>
      <c r="C70" t="s">
        <v>35</v>
      </c>
      <c r="D70" t="s">
        <v>49</v>
      </c>
      <c r="E70" s="13" t="s">
        <v>7</v>
      </c>
      <c r="F70" s="9">
        <v>7003644.6027922789</v>
      </c>
      <c r="G70" s="14">
        <v>891677.34017862007</v>
      </c>
      <c r="H70" s="15">
        <v>544498.09318310209</v>
      </c>
      <c r="I70" s="16">
        <v>29419.260000000093</v>
      </c>
      <c r="J70" s="8">
        <f t="shared" si="4"/>
        <v>6111967</v>
      </c>
      <c r="K70" s="9">
        <f t="shared" si="5"/>
        <v>11.22</v>
      </c>
      <c r="L70" s="10">
        <f t="shared" si="6"/>
        <v>0.12731618903436617</v>
      </c>
      <c r="M70" s="11">
        <f t="shared" si="7"/>
        <v>18.5</v>
      </c>
      <c r="N70">
        <f>F70/I70</f>
        <v>238.06324845670002</v>
      </c>
    </row>
    <row r="71" spans="1:15" x14ac:dyDescent="0.25">
      <c r="A71" t="s">
        <v>34</v>
      </c>
      <c r="B71" s="13">
        <v>75</v>
      </c>
      <c r="C71" t="s">
        <v>35</v>
      </c>
      <c r="D71" t="s">
        <v>49</v>
      </c>
      <c r="E71" s="13" t="s">
        <v>7</v>
      </c>
      <c r="F71" s="9">
        <v>1327650.8372777048</v>
      </c>
      <c r="G71" s="14">
        <v>89494.216215319029</v>
      </c>
      <c r="H71" s="15">
        <v>77866.387352189864</v>
      </c>
      <c r="I71" s="16">
        <v>5421.2800000000025</v>
      </c>
      <c r="J71" s="8">
        <f t="shared" si="4"/>
        <v>1238157</v>
      </c>
      <c r="K71" s="9">
        <f t="shared" si="5"/>
        <v>15.9</v>
      </c>
      <c r="L71" s="10">
        <f t="shared" si="6"/>
        <v>6.7407946202800842E-2</v>
      </c>
      <c r="M71" s="11">
        <f t="shared" si="7"/>
        <v>14.4</v>
      </c>
      <c r="N71">
        <f>F71/I71</f>
        <v>244.89619375455689</v>
      </c>
    </row>
    <row r="72" spans="1:15" x14ac:dyDescent="0.25">
      <c r="A72" t="s">
        <v>34</v>
      </c>
      <c r="B72" s="13">
        <v>2</v>
      </c>
      <c r="C72" t="s">
        <v>35</v>
      </c>
      <c r="D72" t="s">
        <v>49</v>
      </c>
      <c r="E72" s="13" t="s">
        <v>15</v>
      </c>
      <c r="F72" s="9">
        <v>1003766.2300282442</v>
      </c>
      <c r="G72" s="14">
        <v>112542.16767030981</v>
      </c>
      <c r="H72" s="15">
        <v>89300.723262732019</v>
      </c>
      <c r="I72" s="16">
        <v>3844.1999999999971</v>
      </c>
      <c r="J72" s="8">
        <f t="shared" si="4"/>
        <v>891224</v>
      </c>
      <c r="K72" s="9">
        <f t="shared" si="5"/>
        <v>9.98</v>
      </c>
      <c r="L72" s="10">
        <f t="shared" si="6"/>
        <v>0.11211989834240894</v>
      </c>
      <c r="M72" s="11">
        <f t="shared" si="7"/>
        <v>23.2</v>
      </c>
      <c r="N72">
        <f>F72/I72</f>
        <v>261.11186463457807</v>
      </c>
      <c r="O72" s="15"/>
    </row>
    <row r="73" spans="1:15" x14ac:dyDescent="0.25">
      <c r="A73" t="s">
        <v>34</v>
      </c>
      <c r="B73" s="13">
        <v>3</v>
      </c>
      <c r="C73" t="s">
        <v>35</v>
      </c>
      <c r="D73" t="s">
        <v>49</v>
      </c>
      <c r="E73" s="13" t="s">
        <v>15</v>
      </c>
      <c r="F73" s="9">
        <v>1527810.6249388659</v>
      </c>
      <c r="G73" s="14">
        <v>150519.05631415197</v>
      </c>
      <c r="H73" s="15">
        <v>86519.142604527136</v>
      </c>
      <c r="I73" s="16">
        <v>6387.1200000000008</v>
      </c>
      <c r="J73" s="8">
        <f t="shared" si="4"/>
        <v>1377292</v>
      </c>
      <c r="K73" s="9">
        <f t="shared" si="5"/>
        <v>15.92</v>
      </c>
      <c r="L73" s="10">
        <f t="shared" si="6"/>
        <v>9.8519445968753408E-2</v>
      </c>
      <c r="M73" s="11">
        <f t="shared" si="7"/>
        <v>13.5</v>
      </c>
      <c r="N73">
        <f>F73/I73</f>
        <v>239.20180377679858</v>
      </c>
      <c r="O73" s="15"/>
    </row>
    <row r="74" spans="1:15" x14ac:dyDescent="0.25">
      <c r="A74" t="s">
        <v>34</v>
      </c>
      <c r="B74" s="13">
        <v>4</v>
      </c>
      <c r="C74" t="s">
        <v>35</v>
      </c>
      <c r="D74" t="s">
        <v>49</v>
      </c>
      <c r="E74" s="13" t="s">
        <v>15</v>
      </c>
      <c r="F74" s="9">
        <v>1624222.2134463135</v>
      </c>
      <c r="G74" s="14">
        <v>107733.02773252959</v>
      </c>
      <c r="H74" s="15">
        <v>91185.596324017504</v>
      </c>
      <c r="I74" s="16">
        <v>6866.0099999999966</v>
      </c>
      <c r="J74" s="8">
        <f t="shared" si="4"/>
        <v>1516489</v>
      </c>
      <c r="K74" s="9">
        <f t="shared" si="5"/>
        <v>16.63</v>
      </c>
      <c r="L74" s="10">
        <f t="shared" si="6"/>
        <v>6.6328995405092434E-2</v>
      </c>
      <c r="M74" s="11">
        <f t="shared" si="7"/>
        <v>13.3</v>
      </c>
      <c r="N74">
        <f>F74/I74</f>
        <v>236.55983802038074</v>
      </c>
      <c r="O74" s="15"/>
    </row>
    <row r="75" spans="1:15" x14ac:dyDescent="0.25">
      <c r="A75" t="s">
        <v>34</v>
      </c>
      <c r="B75" s="13">
        <v>6</v>
      </c>
      <c r="C75" t="s">
        <v>35</v>
      </c>
      <c r="D75" t="s">
        <v>49</v>
      </c>
      <c r="E75" s="13" t="s">
        <v>15</v>
      </c>
      <c r="F75" s="9">
        <v>1883551.9020006657</v>
      </c>
      <c r="G75" s="14">
        <v>147511.88577236113</v>
      </c>
      <c r="H75" s="15">
        <v>122703.86967787199</v>
      </c>
      <c r="I75" s="16">
        <v>7599.3000000000084</v>
      </c>
      <c r="J75" s="8">
        <f t="shared" si="4"/>
        <v>1736040</v>
      </c>
      <c r="K75" s="9">
        <f t="shared" si="5"/>
        <v>14.15</v>
      </c>
      <c r="L75" s="10">
        <f t="shared" si="6"/>
        <v>7.8315806225290302E-2</v>
      </c>
      <c r="M75" s="11">
        <f t="shared" si="7"/>
        <v>16.100000000000001</v>
      </c>
      <c r="N75">
        <f>F75/I75</f>
        <v>247.85860566113504</v>
      </c>
      <c r="O75" s="15"/>
    </row>
    <row r="76" spans="1:15" x14ac:dyDescent="0.25">
      <c r="A76" t="s">
        <v>34</v>
      </c>
      <c r="B76" s="13">
        <v>7</v>
      </c>
      <c r="C76" t="s">
        <v>35</v>
      </c>
      <c r="D76" t="s">
        <v>49</v>
      </c>
      <c r="E76" s="13" t="s">
        <v>15</v>
      </c>
      <c r="F76" s="9">
        <v>737508.02412686602</v>
      </c>
      <c r="G76" s="14">
        <v>27821.426895327164</v>
      </c>
      <c r="H76" s="15">
        <v>28100.692582945921</v>
      </c>
      <c r="I76" s="16">
        <v>3096.75</v>
      </c>
      <c r="J76" s="8">
        <f t="shared" si="4"/>
        <v>709687</v>
      </c>
      <c r="K76" s="9">
        <f t="shared" si="5"/>
        <v>25.26</v>
      </c>
      <c r="L76" s="10">
        <f t="shared" si="6"/>
        <v>3.7723558232827206E-2</v>
      </c>
      <c r="M76" s="11">
        <f t="shared" si="7"/>
        <v>9.1</v>
      </c>
      <c r="N76">
        <f>F76/I76</f>
        <v>238.1554933807592</v>
      </c>
      <c r="O76" s="15"/>
    </row>
    <row r="77" spans="1:15" x14ac:dyDescent="0.25">
      <c r="A77" t="s">
        <v>34</v>
      </c>
      <c r="B77" s="13">
        <v>9</v>
      </c>
      <c r="C77" t="s">
        <v>35</v>
      </c>
      <c r="D77" t="s">
        <v>49</v>
      </c>
      <c r="E77" s="13" t="s">
        <v>15</v>
      </c>
      <c r="F77" s="9">
        <v>911879.94277231931</v>
      </c>
      <c r="G77" s="14">
        <v>45077.78832991403</v>
      </c>
      <c r="H77" s="15">
        <v>44678.745107470146</v>
      </c>
      <c r="I77" s="16">
        <v>3502.4999999999973</v>
      </c>
      <c r="J77" s="8">
        <f t="shared" si="4"/>
        <v>866802</v>
      </c>
      <c r="K77" s="9">
        <f t="shared" si="5"/>
        <v>19.399999999999999</v>
      </c>
      <c r="L77" s="10">
        <f t="shared" si="6"/>
        <v>4.9433907047968899E-2</v>
      </c>
      <c r="M77" s="11">
        <f t="shared" si="7"/>
        <v>12.8</v>
      </c>
      <c r="N77">
        <f>F77/I77</f>
        <v>260.35116139109778</v>
      </c>
      <c r="O77" s="15"/>
    </row>
    <row r="78" spans="1:15" x14ac:dyDescent="0.25">
      <c r="A78" t="s">
        <v>34</v>
      </c>
      <c r="B78" s="13">
        <v>10</v>
      </c>
      <c r="C78" t="s">
        <v>35</v>
      </c>
      <c r="D78" t="s">
        <v>49</v>
      </c>
      <c r="E78" s="13" t="s">
        <v>15</v>
      </c>
      <c r="F78" s="9">
        <v>1571015.9159659536</v>
      </c>
      <c r="G78" s="14">
        <v>91620.051060767626</v>
      </c>
      <c r="H78" s="15">
        <v>137843.8260797869</v>
      </c>
      <c r="I78" s="16">
        <v>6285.260000000002</v>
      </c>
      <c r="J78" s="8">
        <f t="shared" si="4"/>
        <v>1479396</v>
      </c>
      <c r="K78" s="9">
        <f t="shared" si="5"/>
        <v>10.73</v>
      </c>
      <c r="L78" s="10">
        <f t="shared" si="6"/>
        <v>5.8318983359525157E-2</v>
      </c>
      <c r="M78" s="11">
        <f t="shared" si="7"/>
        <v>21.9</v>
      </c>
      <c r="N78">
        <f>F78/I78</f>
        <v>249.9524150100319</v>
      </c>
      <c r="O78" s="15"/>
    </row>
    <row r="79" spans="1:15" x14ac:dyDescent="0.25">
      <c r="A79" t="s">
        <v>34</v>
      </c>
      <c r="B79" s="13">
        <v>11</v>
      </c>
      <c r="C79" t="s">
        <v>35</v>
      </c>
      <c r="D79" t="s">
        <v>49</v>
      </c>
      <c r="E79" s="13" t="s">
        <v>15</v>
      </c>
      <c r="F79" s="9">
        <v>1306518.859369278</v>
      </c>
      <c r="G79" s="14">
        <v>79063.231799188259</v>
      </c>
      <c r="H79" s="15">
        <v>86320.458271798212</v>
      </c>
      <c r="I79" s="16">
        <v>5259.0999999999967</v>
      </c>
      <c r="J79" s="8">
        <f t="shared" si="4"/>
        <v>1227456</v>
      </c>
      <c r="K79" s="9">
        <f t="shared" si="5"/>
        <v>14.22</v>
      </c>
      <c r="L79" s="10">
        <f t="shared" si="6"/>
        <v>6.0514420616443333E-2</v>
      </c>
      <c r="M79" s="11">
        <f t="shared" si="7"/>
        <v>16.399999999999999</v>
      </c>
      <c r="N79">
        <f>F79/I79</f>
        <v>248.43012290492265</v>
      </c>
      <c r="O79" s="15"/>
    </row>
    <row r="80" spans="1:15" x14ac:dyDescent="0.25">
      <c r="A80" t="s">
        <v>34</v>
      </c>
      <c r="B80" s="13">
        <v>14</v>
      </c>
      <c r="C80" t="s">
        <v>35</v>
      </c>
      <c r="D80" t="s">
        <v>49</v>
      </c>
      <c r="E80" s="13" t="s">
        <v>15</v>
      </c>
      <c r="F80" s="9">
        <v>1138616.5798277096</v>
      </c>
      <c r="G80" s="14">
        <v>70626.044056290571</v>
      </c>
      <c r="H80" s="15">
        <v>87791.142829934513</v>
      </c>
      <c r="I80" s="16">
        <v>4609.6900000000023</v>
      </c>
      <c r="J80" s="8">
        <f t="shared" si="4"/>
        <v>1067991</v>
      </c>
      <c r="K80" s="9">
        <f t="shared" si="5"/>
        <v>12.17</v>
      </c>
      <c r="L80" s="10">
        <f t="shared" si="6"/>
        <v>6.2027942775062517E-2</v>
      </c>
      <c r="M80" s="11">
        <f t="shared" si="7"/>
        <v>19</v>
      </c>
      <c r="N80">
        <f>F80/I80</f>
        <v>247.00502199230513</v>
      </c>
      <c r="O80" s="15"/>
    </row>
    <row r="81" spans="1:15" x14ac:dyDescent="0.25">
      <c r="A81" t="s">
        <v>34</v>
      </c>
      <c r="B81" s="13">
        <v>17</v>
      </c>
      <c r="C81" t="s">
        <v>35</v>
      </c>
      <c r="D81" t="s">
        <v>49</v>
      </c>
      <c r="E81" s="13" t="s">
        <v>15</v>
      </c>
      <c r="F81" s="9">
        <v>1182371.4364977696</v>
      </c>
      <c r="G81" s="14">
        <v>89994.766735192912</v>
      </c>
      <c r="H81" s="15">
        <v>103711.11920478517</v>
      </c>
      <c r="I81" s="16">
        <v>4828.3599999999979</v>
      </c>
      <c r="J81" s="8">
        <f t="shared" si="4"/>
        <v>1092377</v>
      </c>
      <c r="K81" s="9">
        <f t="shared" si="5"/>
        <v>10.53</v>
      </c>
      <c r="L81" s="10">
        <f t="shared" si="6"/>
        <v>7.6113786207286038E-2</v>
      </c>
      <c r="M81" s="11">
        <f t="shared" si="7"/>
        <v>21.5</v>
      </c>
      <c r="N81">
        <f>F81/I81</f>
        <v>244.88054670690877</v>
      </c>
      <c r="O81" s="15"/>
    </row>
    <row r="82" spans="1:15" x14ac:dyDescent="0.25">
      <c r="A82" t="s">
        <v>34</v>
      </c>
      <c r="B82" s="13">
        <v>18</v>
      </c>
      <c r="C82" t="s">
        <v>35</v>
      </c>
      <c r="D82" t="s">
        <v>49</v>
      </c>
      <c r="E82" s="13" t="s">
        <v>15</v>
      </c>
      <c r="F82" s="9">
        <v>1788818.0303900745</v>
      </c>
      <c r="G82" s="14">
        <v>151635.80576362571</v>
      </c>
      <c r="H82" s="15">
        <v>183501.2754929217</v>
      </c>
      <c r="I82" s="16">
        <v>7303.130000000001</v>
      </c>
      <c r="J82" s="8">
        <f t="shared" si="4"/>
        <v>1637182</v>
      </c>
      <c r="K82" s="9">
        <f t="shared" si="5"/>
        <v>8.92</v>
      </c>
      <c r="L82" s="10">
        <f t="shared" si="6"/>
        <v>8.4768714976871967E-2</v>
      </c>
      <c r="M82" s="11">
        <f t="shared" si="7"/>
        <v>25.1</v>
      </c>
      <c r="N82">
        <f>F82/I82</f>
        <v>244.9385442118755</v>
      </c>
      <c r="O82" s="15"/>
    </row>
    <row r="83" spans="1:15" x14ac:dyDescent="0.25">
      <c r="A83" t="s">
        <v>34</v>
      </c>
      <c r="B83" s="13">
        <v>21</v>
      </c>
      <c r="C83" t="s">
        <v>35</v>
      </c>
      <c r="D83" t="s">
        <v>49</v>
      </c>
      <c r="E83" s="13" t="s">
        <v>15</v>
      </c>
      <c r="F83" s="9">
        <v>2238876.0170232519</v>
      </c>
      <c r="G83" s="14">
        <v>163760.84601111486</v>
      </c>
      <c r="H83" s="15">
        <v>240089.51692571433</v>
      </c>
      <c r="I83" s="16">
        <v>9510.2499999999891</v>
      </c>
      <c r="J83" s="8">
        <f t="shared" si="4"/>
        <v>2075115</v>
      </c>
      <c r="K83" s="9">
        <f t="shared" si="5"/>
        <v>8.64</v>
      </c>
      <c r="L83" s="10">
        <f t="shared" si="6"/>
        <v>7.3144222710843448E-2</v>
      </c>
      <c r="M83" s="11">
        <f t="shared" si="7"/>
        <v>25.2</v>
      </c>
      <c r="N83">
        <f>F83/I83</f>
        <v>235.41715696467017</v>
      </c>
      <c r="O83" s="15"/>
    </row>
    <row r="84" spans="1:15" x14ac:dyDescent="0.25">
      <c r="A84" t="s">
        <v>34</v>
      </c>
      <c r="B84" s="13">
        <v>22</v>
      </c>
      <c r="C84" t="s">
        <v>35</v>
      </c>
      <c r="D84" t="s">
        <v>49</v>
      </c>
      <c r="E84" s="13" t="s">
        <v>15</v>
      </c>
      <c r="F84" s="9">
        <v>1078608.727360087</v>
      </c>
      <c r="G84" s="14">
        <v>61533.983158318326</v>
      </c>
      <c r="H84" s="15">
        <v>75559.967108765253</v>
      </c>
      <c r="I84" s="16">
        <v>4714.2300000000005</v>
      </c>
      <c r="J84" s="8">
        <f t="shared" si="4"/>
        <v>1017075</v>
      </c>
      <c r="K84" s="9">
        <f t="shared" si="5"/>
        <v>13.46</v>
      </c>
      <c r="L84" s="10">
        <f t="shared" si="6"/>
        <v>5.7049402250734411E-2</v>
      </c>
      <c r="M84" s="11">
        <f t="shared" si="7"/>
        <v>16</v>
      </c>
      <c r="N84">
        <f>F84/I84</f>
        <v>228.79849463434894</v>
      </c>
      <c r="O84" s="15"/>
    </row>
    <row r="85" spans="1:15" x14ac:dyDescent="0.25">
      <c r="A85" t="s">
        <v>34</v>
      </c>
      <c r="B85" s="13">
        <v>25</v>
      </c>
      <c r="C85" t="s">
        <v>35</v>
      </c>
      <c r="D85" t="s">
        <v>49</v>
      </c>
      <c r="E85" s="13" t="s">
        <v>15</v>
      </c>
      <c r="F85" s="9">
        <v>194071.03563656274</v>
      </c>
      <c r="G85" s="14">
        <v>5396.1928482622452</v>
      </c>
      <c r="H85" s="15">
        <v>5390.757980073573</v>
      </c>
      <c r="I85" s="16">
        <v>810.75</v>
      </c>
      <c r="J85" s="8">
        <f t="shared" si="4"/>
        <v>188675</v>
      </c>
      <c r="K85" s="9">
        <f t="shared" si="5"/>
        <v>35</v>
      </c>
      <c r="L85" s="10">
        <f t="shared" si="6"/>
        <v>2.78052457985936E-2</v>
      </c>
      <c r="M85" s="11">
        <f t="shared" si="7"/>
        <v>6.6</v>
      </c>
      <c r="N85">
        <f>F85/I85</f>
        <v>239.37223020235922</v>
      </c>
      <c r="O85" s="15"/>
    </row>
    <row r="86" spans="1:15" x14ac:dyDescent="0.25">
      <c r="A86" t="s">
        <v>34</v>
      </c>
      <c r="B86" s="13">
        <v>54</v>
      </c>
      <c r="C86" t="s">
        <v>35</v>
      </c>
      <c r="D86" t="s">
        <v>49</v>
      </c>
      <c r="E86" s="13" t="s">
        <v>15</v>
      </c>
      <c r="F86" s="9">
        <v>1452855.6752312325</v>
      </c>
      <c r="G86" s="14">
        <v>132222.59213098171</v>
      </c>
      <c r="H86" s="15">
        <v>125486.50157593259</v>
      </c>
      <c r="I86" s="16">
        <v>6050.7200000000012</v>
      </c>
      <c r="J86" s="8">
        <f t="shared" si="4"/>
        <v>1320633</v>
      </c>
      <c r="K86" s="9">
        <f t="shared" si="5"/>
        <v>10.52</v>
      </c>
      <c r="L86" s="10">
        <f t="shared" si="6"/>
        <v>9.1008759084027752E-2</v>
      </c>
      <c r="M86" s="11">
        <f t="shared" si="7"/>
        <v>20.7</v>
      </c>
      <c r="N86">
        <f>F86/I86</f>
        <v>240.1128585079515</v>
      </c>
      <c r="O86" s="15"/>
    </row>
    <row r="87" spans="1:15" x14ac:dyDescent="0.25">
      <c r="A87" t="s">
        <v>34</v>
      </c>
      <c r="B87" s="13">
        <v>61</v>
      </c>
      <c r="C87" t="s">
        <v>35</v>
      </c>
      <c r="D87" t="s">
        <v>49</v>
      </c>
      <c r="E87" s="13" t="s">
        <v>15</v>
      </c>
      <c r="F87" s="9">
        <v>385073.20966287202</v>
      </c>
      <c r="G87" s="14">
        <v>23201.322829000357</v>
      </c>
      <c r="H87" s="15">
        <v>21802.714607395847</v>
      </c>
      <c r="I87" s="16">
        <v>1566.5399999999993</v>
      </c>
      <c r="J87" s="8">
        <f t="shared" si="4"/>
        <v>361872</v>
      </c>
      <c r="K87" s="9">
        <f t="shared" si="5"/>
        <v>16.600000000000001</v>
      </c>
      <c r="L87" s="10">
        <f t="shared" si="6"/>
        <v>6.025171901549032E-2</v>
      </c>
      <c r="M87" s="11">
        <f t="shared" si="7"/>
        <v>13.9</v>
      </c>
      <c r="N87">
        <f>F87/I87</f>
        <v>245.8112845269653</v>
      </c>
      <c r="O87" s="15"/>
    </row>
    <row r="88" spans="1:15" x14ac:dyDescent="0.25">
      <c r="A88" t="s">
        <v>34</v>
      </c>
      <c r="B88" s="13">
        <v>62</v>
      </c>
      <c r="C88" t="s">
        <v>35</v>
      </c>
      <c r="D88" t="s">
        <v>49</v>
      </c>
      <c r="E88" s="13" t="s">
        <v>15</v>
      </c>
      <c r="F88" s="9">
        <v>770231.66548158473</v>
      </c>
      <c r="G88" s="14">
        <v>40177.810745605537</v>
      </c>
      <c r="H88" s="15">
        <v>45019.346820719722</v>
      </c>
      <c r="I88" s="16">
        <v>3087.5599999999972</v>
      </c>
      <c r="J88" s="8">
        <f t="shared" si="4"/>
        <v>730054</v>
      </c>
      <c r="K88" s="9">
        <f t="shared" si="5"/>
        <v>16.22</v>
      </c>
      <c r="L88" s="10">
        <f t="shared" si="6"/>
        <v>5.2163280927283735E-2</v>
      </c>
      <c r="M88" s="11">
        <f t="shared" si="7"/>
        <v>14.6</v>
      </c>
      <c r="N88">
        <f>F88/I88</f>
        <v>249.46289804298067</v>
      </c>
      <c r="O88" s="15"/>
    </row>
    <row r="89" spans="1:15" x14ac:dyDescent="0.25">
      <c r="A89" t="s">
        <v>34</v>
      </c>
      <c r="B89" s="13">
        <v>63</v>
      </c>
      <c r="C89" t="s">
        <v>35</v>
      </c>
      <c r="D89" t="s">
        <v>49</v>
      </c>
      <c r="E89" s="13" t="s">
        <v>15</v>
      </c>
      <c r="F89" s="9">
        <v>1290381.9434434995</v>
      </c>
      <c r="G89" s="14">
        <v>97229.279632501639</v>
      </c>
      <c r="H89" s="15">
        <v>93953.510864098178</v>
      </c>
      <c r="I89" s="16">
        <v>5547.9000000000024</v>
      </c>
      <c r="J89" s="8">
        <f t="shared" si="4"/>
        <v>1193153</v>
      </c>
      <c r="K89" s="9">
        <f t="shared" si="5"/>
        <v>12.7</v>
      </c>
      <c r="L89" s="10">
        <f t="shared" si="6"/>
        <v>7.5349225186022536E-2</v>
      </c>
      <c r="M89" s="11">
        <f t="shared" si="7"/>
        <v>16.899999999999999</v>
      </c>
      <c r="N89">
        <f>F89/I89</f>
        <v>232.58925781710178</v>
      </c>
      <c r="O89" s="15"/>
    </row>
    <row r="90" spans="1:15" x14ac:dyDescent="0.25">
      <c r="A90" t="s">
        <v>34</v>
      </c>
      <c r="B90" s="13">
        <v>64</v>
      </c>
      <c r="C90" t="s">
        <v>35</v>
      </c>
      <c r="D90" t="s">
        <v>49</v>
      </c>
      <c r="E90" s="13" t="s">
        <v>15</v>
      </c>
      <c r="F90" s="9">
        <v>1253446.7792406667</v>
      </c>
      <c r="G90" s="14">
        <v>59781.838016519119</v>
      </c>
      <c r="H90" s="15">
        <v>82314.183181692846</v>
      </c>
      <c r="I90" s="16">
        <v>5096.8399999999992</v>
      </c>
      <c r="J90" s="8">
        <f t="shared" si="4"/>
        <v>1193665</v>
      </c>
      <c r="K90" s="9">
        <f t="shared" si="5"/>
        <v>14.5</v>
      </c>
      <c r="L90" s="10">
        <f t="shared" si="6"/>
        <v>4.7693957977804798E-2</v>
      </c>
      <c r="M90" s="11">
        <f t="shared" si="7"/>
        <v>16.2</v>
      </c>
      <c r="N90">
        <f>F90/I90</f>
        <v>245.92625611960878</v>
      </c>
      <c r="O90" s="15"/>
    </row>
    <row r="91" spans="1:15" x14ac:dyDescent="0.25">
      <c r="A91" t="s">
        <v>34</v>
      </c>
      <c r="B91" s="13">
        <v>68</v>
      </c>
      <c r="C91" t="s">
        <v>35</v>
      </c>
      <c r="D91" t="s">
        <v>49</v>
      </c>
      <c r="E91" s="13" t="s">
        <v>15</v>
      </c>
      <c r="F91" s="9">
        <v>1092511.1057540518</v>
      </c>
      <c r="G91" s="14">
        <v>48631.013984294543</v>
      </c>
      <c r="H91" s="15">
        <v>67879.608722958394</v>
      </c>
      <c r="I91" s="16">
        <v>4715.3599999999988</v>
      </c>
      <c r="J91" s="8">
        <f t="shared" si="4"/>
        <v>1043880</v>
      </c>
      <c r="K91" s="9">
        <f t="shared" si="5"/>
        <v>15.38</v>
      </c>
      <c r="L91" s="10">
        <f t="shared" si="6"/>
        <v>4.4513061449136838E-2</v>
      </c>
      <c r="M91" s="11">
        <f t="shared" si="7"/>
        <v>14.4</v>
      </c>
      <c r="N91">
        <f>F91/I91</f>
        <v>231.6919823203429</v>
      </c>
      <c r="O91" s="15"/>
    </row>
    <row r="92" spans="1:15" x14ac:dyDescent="0.25">
      <c r="A92" t="s">
        <v>34</v>
      </c>
      <c r="B92" s="13">
        <v>70</v>
      </c>
      <c r="C92" t="s">
        <v>35</v>
      </c>
      <c r="D92" t="s">
        <v>49</v>
      </c>
      <c r="E92" s="13" t="s">
        <v>15</v>
      </c>
      <c r="F92" s="9">
        <v>95484.763281185413</v>
      </c>
      <c r="G92" s="14">
        <v>3327.6208076294438</v>
      </c>
      <c r="H92" s="15">
        <v>3873.8188682860991</v>
      </c>
      <c r="I92" s="16">
        <v>370.35999999999984</v>
      </c>
      <c r="J92" s="8">
        <f t="shared" si="4"/>
        <v>92157</v>
      </c>
      <c r="K92" s="9">
        <f t="shared" si="5"/>
        <v>23.79</v>
      </c>
      <c r="L92" s="10">
        <f t="shared" si="6"/>
        <v>3.4849757105541543E-2</v>
      </c>
      <c r="M92" s="11">
        <f t="shared" si="7"/>
        <v>10.5</v>
      </c>
      <c r="N92">
        <f>F92/I92</f>
        <v>257.81607970943259</v>
      </c>
      <c r="O92" s="15"/>
    </row>
    <row r="93" spans="1:15" x14ac:dyDescent="0.25">
      <c r="A93" t="s">
        <v>34</v>
      </c>
      <c r="B93" s="13">
        <v>71</v>
      </c>
      <c r="C93" t="s">
        <v>35</v>
      </c>
      <c r="D93" t="s">
        <v>49</v>
      </c>
      <c r="E93" s="13" t="s">
        <v>15</v>
      </c>
      <c r="F93" s="9">
        <v>542822.12791945483</v>
      </c>
      <c r="G93" s="14">
        <v>11311.571579076721</v>
      </c>
      <c r="H93" s="15">
        <v>16512.875653470295</v>
      </c>
      <c r="I93" s="16">
        <v>2011.8800000000019</v>
      </c>
      <c r="J93" s="8">
        <f t="shared" si="4"/>
        <v>531511</v>
      </c>
      <c r="K93" s="9">
        <f t="shared" si="5"/>
        <v>32.19</v>
      </c>
      <c r="L93" s="10">
        <f t="shared" si="6"/>
        <v>2.0838449645433684E-2</v>
      </c>
      <c r="M93" s="11">
        <f t="shared" si="7"/>
        <v>8.1999999999999993</v>
      </c>
      <c r="N93">
        <f>F93/I93</f>
        <v>269.80840205154101</v>
      </c>
      <c r="O93" s="15"/>
    </row>
    <row r="94" spans="1:15" x14ac:dyDescent="0.25">
      <c r="A94" t="s">
        <v>34</v>
      </c>
      <c r="B94" s="13">
        <v>74</v>
      </c>
      <c r="C94" t="s">
        <v>35</v>
      </c>
      <c r="D94" t="s">
        <v>49</v>
      </c>
      <c r="E94" s="13" t="s">
        <v>15</v>
      </c>
      <c r="F94" s="9">
        <v>888743.77332764771</v>
      </c>
      <c r="G94" s="14">
        <v>55564.959534103451</v>
      </c>
      <c r="H94" s="15">
        <v>60197.147857440134</v>
      </c>
      <c r="I94" s="16">
        <v>3617.9899999999975</v>
      </c>
      <c r="J94" s="8">
        <f t="shared" si="4"/>
        <v>833179</v>
      </c>
      <c r="K94" s="9">
        <f t="shared" si="5"/>
        <v>13.84</v>
      </c>
      <c r="L94" s="10">
        <f t="shared" si="6"/>
        <v>6.2520786307234871E-2</v>
      </c>
      <c r="M94" s="11">
        <f t="shared" si="7"/>
        <v>16.600000000000001</v>
      </c>
      <c r="N94">
        <f>F94/I94</f>
        <v>245.64572409753711</v>
      </c>
      <c r="O94" s="15"/>
    </row>
    <row r="95" spans="1:15" x14ac:dyDescent="0.25">
      <c r="A95" t="s">
        <v>34</v>
      </c>
      <c r="B95" s="13">
        <v>2</v>
      </c>
      <c r="C95" t="s">
        <v>35</v>
      </c>
      <c r="D95" t="s">
        <v>49</v>
      </c>
      <c r="E95" s="13" t="s">
        <v>16</v>
      </c>
      <c r="F95" s="9">
        <v>955241.2161271167</v>
      </c>
      <c r="G95" s="14">
        <v>90979.649551354538</v>
      </c>
      <c r="H95" s="15">
        <v>80158.090237634548</v>
      </c>
      <c r="I95" s="16">
        <v>3575.5599999999977</v>
      </c>
      <c r="J95" s="8">
        <f t="shared" si="4"/>
        <v>864262</v>
      </c>
      <c r="K95" s="9">
        <f t="shared" si="5"/>
        <v>10.78</v>
      </c>
      <c r="L95" s="10">
        <f t="shared" si="6"/>
        <v>9.5242592148837527E-2</v>
      </c>
      <c r="M95" s="11">
        <f t="shared" si="7"/>
        <v>22.4</v>
      </c>
      <c r="N95">
        <f>F95/I95</f>
        <v>267.15849157254172</v>
      </c>
    </row>
    <row r="96" spans="1:15" x14ac:dyDescent="0.25">
      <c r="A96" t="s">
        <v>34</v>
      </c>
      <c r="B96" s="13">
        <v>3</v>
      </c>
      <c r="C96" t="s">
        <v>35</v>
      </c>
      <c r="D96" t="s">
        <v>49</v>
      </c>
      <c r="E96" s="13" t="s">
        <v>16</v>
      </c>
      <c r="F96" s="9">
        <v>949322.95641420095</v>
      </c>
      <c r="G96" s="14">
        <v>91001.746880990671</v>
      </c>
      <c r="H96" s="15">
        <v>60320.142920558028</v>
      </c>
      <c r="I96" s="16">
        <v>3931.0400000000027</v>
      </c>
      <c r="J96" s="8">
        <f t="shared" si="4"/>
        <v>858321</v>
      </c>
      <c r="K96" s="9">
        <f t="shared" si="5"/>
        <v>14.23</v>
      </c>
      <c r="L96" s="10">
        <f t="shared" si="6"/>
        <v>9.5859629503455848E-2</v>
      </c>
      <c r="M96" s="11">
        <f t="shared" si="7"/>
        <v>15.3</v>
      </c>
      <c r="N96">
        <f>F96/I96</f>
        <v>241.49409734172136</v>
      </c>
    </row>
    <row r="97" spans="1:14" x14ac:dyDescent="0.25">
      <c r="A97" t="s">
        <v>34</v>
      </c>
      <c r="B97" s="13">
        <v>4</v>
      </c>
      <c r="C97" t="s">
        <v>35</v>
      </c>
      <c r="D97" t="s">
        <v>49</v>
      </c>
      <c r="E97" s="13" t="s">
        <v>16</v>
      </c>
      <c r="F97" s="9">
        <v>1191035.7106775444</v>
      </c>
      <c r="G97" s="14">
        <v>82362.190015518296</v>
      </c>
      <c r="H97" s="15">
        <v>69124.276712117353</v>
      </c>
      <c r="I97" s="16">
        <v>4993.1099999999988</v>
      </c>
      <c r="J97" s="8">
        <f t="shared" si="4"/>
        <v>1108674</v>
      </c>
      <c r="K97" s="9">
        <f t="shared" si="5"/>
        <v>16.04</v>
      </c>
      <c r="L97" s="10">
        <f t="shared" si="6"/>
        <v>6.9151738505527194E-2</v>
      </c>
      <c r="M97" s="11">
        <f t="shared" si="7"/>
        <v>13.8</v>
      </c>
      <c r="N97">
        <f>F97/I97</f>
        <v>238.53584452927026</v>
      </c>
    </row>
    <row r="98" spans="1:14" x14ac:dyDescent="0.25">
      <c r="A98" t="s">
        <v>34</v>
      </c>
      <c r="B98" s="13">
        <v>6</v>
      </c>
      <c r="C98" t="s">
        <v>35</v>
      </c>
      <c r="D98" t="s">
        <v>49</v>
      </c>
      <c r="E98" s="13" t="s">
        <v>16</v>
      </c>
      <c r="F98" s="9">
        <v>1837036.520879776</v>
      </c>
      <c r="G98" s="14">
        <v>129784.91515375176</v>
      </c>
      <c r="H98" s="15">
        <v>109939.7153498585</v>
      </c>
      <c r="I98" s="16">
        <v>7371.6699999999964</v>
      </c>
      <c r="J98" s="8">
        <f t="shared" si="4"/>
        <v>1707252</v>
      </c>
      <c r="K98" s="9">
        <f t="shared" si="5"/>
        <v>15.53</v>
      </c>
      <c r="L98" s="10">
        <f t="shared" si="6"/>
        <v>7.0649066405928829E-2</v>
      </c>
      <c r="M98" s="11">
        <f t="shared" si="7"/>
        <v>14.9</v>
      </c>
      <c r="N98">
        <f>F98/I98</f>
        <v>249.20221888388613</v>
      </c>
    </row>
    <row r="99" spans="1:14" x14ac:dyDescent="0.25">
      <c r="A99" t="s">
        <v>34</v>
      </c>
      <c r="B99" s="13">
        <v>7</v>
      </c>
      <c r="C99" t="s">
        <v>35</v>
      </c>
      <c r="D99" t="s">
        <v>49</v>
      </c>
      <c r="E99" s="13" t="s">
        <v>16</v>
      </c>
      <c r="F99" s="9">
        <v>774002.44756652333</v>
      </c>
      <c r="G99" s="14">
        <v>24633.42316055057</v>
      </c>
      <c r="H99" s="15">
        <v>28178.484332268352</v>
      </c>
      <c r="I99" s="16">
        <v>3235.0000000000027</v>
      </c>
      <c r="J99" s="8">
        <f t="shared" si="4"/>
        <v>749369</v>
      </c>
      <c r="K99" s="9">
        <f t="shared" si="5"/>
        <v>26.59</v>
      </c>
      <c r="L99" s="10">
        <f t="shared" si="6"/>
        <v>3.1826027473166867E-2</v>
      </c>
      <c r="M99" s="11">
        <f t="shared" si="7"/>
        <v>8.6999999999999993</v>
      </c>
      <c r="N99">
        <f>F99/I99</f>
        <v>239.25887096337641</v>
      </c>
    </row>
    <row r="100" spans="1:14" x14ac:dyDescent="0.25">
      <c r="A100" t="s">
        <v>34</v>
      </c>
      <c r="B100" s="13">
        <v>9</v>
      </c>
      <c r="C100" t="s">
        <v>35</v>
      </c>
      <c r="D100" t="s">
        <v>49</v>
      </c>
      <c r="E100" s="13" t="s">
        <v>16</v>
      </c>
      <c r="F100" s="9">
        <v>833339.21327540348</v>
      </c>
      <c r="G100" s="14">
        <v>36258.754988236644</v>
      </c>
      <c r="H100" s="15">
        <v>37269.606604436107</v>
      </c>
      <c r="I100" s="16">
        <v>3493.9999999999977</v>
      </c>
      <c r="J100" s="8">
        <f t="shared" si="4"/>
        <v>797080</v>
      </c>
      <c r="K100" s="9">
        <f t="shared" si="5"/>
        <v>21.39</v>
      </c>
      <c r="L100" s="10">
        <f t="shared" si="6"/>
        <v>4.351019898094461E-2</v>
      </c>
      <c r="M100" s="11">
        <f t="shared" si="7"/>
        <v>10.7</v>
      </c>
      <c r="N100">
        <f>F100/I100</f>
        <v>238.50578513892503</v>
      </c>
    </row>
    <row r="101" spans="1:14" x14ac:dyDescent="0.25">
      <c r="A101" t="s">
        <v>34</v>
      </c>
      <c r="B101" s="13">
        <v>10</v>
      </c>
      <c r="C101" t="s">
        <v>35</v>
      </c>
      <c r="D101" t="s">
        <v>49</v>
      </c>
      <c r="E101" s="13" t="s">
        <v>16</v>
      </c>
      <c r="F101" s="9">
        <v>1277555.1176115181</v>
      </c>
      <c r="G101" s="14">
        <v>74630.900454208619</v>
      </c>
      <c r="H101" s="15">
        <v>110083.73521009056</v>
      </c>
      <c r="I101" s="16">
        <v>4858.1099999999969</v>
      </c>
      <c r="J101" s="8">
        <f t="shared" si="4"/>
        <v>1202924</v>
      </c>
      <c r="K101" s="9">
        <f t="shared" si="5"/>
        <v>10.93</v>
      </c>
      <c r="L101" s="10">
        <f t="shared" si="6"/>
        <v>5.8416971154823048E-2</v>
      </c>
      <c r="M101" s="11">
        <f t="shared" si="7"/>
        <v>22.7</v>
      </c>
      <c r="N101">
        <f>F101/I101</f>
        <v>262.97369092332593</v>
      </c>
    </row>
    <row r="102" spans="1:14" x14ac:dyDescent="0.25">
      <c r="A102" t="s">
        <v>34</v>
      </c>
      <c r="B102" s="13">
        <v>11</v>
      </c>
      <c r="C102" t="s">
        <v>35</v>
      </c>
      <c r="D102" t="s">
        <v>49</v>
      </c>
      <c r="E102" s="13" t="s">
        <v>16</v>
      </c>
      <c r="F102" s="9">
        <v>875650.32654016674</v>
      </c>
      <c r="G102" s="14">
        <v>56145.540749596781</v>
      </c>
      <c r="H102" s="15">
        <v>58346.965711393044</v>
      </c>
      <c r="I102" s="16">
        <v>3520.9499999999966</v>
      </c>
      <c r="J102" s="8">
        <f t="shared" si="4"/>
        <v>819505</v>
      </c>
      <c r="K102" s="9">
        <f t="shared" si="5"/>
        <v>14.05</v>
      </c>
      <c r="L102" s="10">
        <f t="shared" si="6"/>
        <v>6.4118677339431496E-2</v>
      </c>
      <c r="M102" s="11">
        <f t="shared" si="7"/>
        <v>16.600000000000001</v>
      </c>
      <c r="N102">
        <f>F102/I102</f>
        <v>248.69717733570985</v>
      </c>
    </row>
    <row r="103" spans="1:14" x14ac:dyDescent="0.25">
      <c r="A103" t="s">
        <v>34</v>
      </c>
      <c r="B103" s="13">
        <v>14</v>
      </c>
      <c r="C103" t="s">
        <v>35</v>
      </c>
      <c r="D103" t="s">
        <v>49</v>
      </c>
      <c r="E103" s="13" t="s">
        <v>16</v>
      </c>
      <c r="F103" s="9">
        <v>1253481.2404526013</v>
      </c>
      <c r="G103" s="14">
        <v>59067.612400897458</v>
      </c>
      <c r="H103" s="15">
        <v>73148.422879769772</v>
      </c>
      <c r="I103" s="16">
        <v>5053.0499999999993</v>
      </c>
      <c r="J103" s="8">
        <f t="shared" si="4"/>
        <v>1194414</v>
      </c>
      <c r="K103" s="9">
        <f t="shared" si="5"/>
        <v>16.329999999999998</v>
      </c>
      <c r="L103" s="10">
        <f t="shared" si="6"/>
        <v>4.7122853134658478E-2</v>
      </c>
      <c r="M103" s="11">
        <f t="shared" si="7"/>
        <v>14.5</v>
      </c>
      <c r="N103">
        <f>F103/I103</f>
        <v>248.0642860158917</v>
      </c>
    </row>
    <row r="104" spans="1:14" x14ac:dyDescent="0.25">
      <c r="A104" t="s">
        <v>34</v>
      </c>
      <c r="B104" s="13">
        <v>17</v>
      </c>
      <c r="C104" t="s">
        <v>35</v>
      </c>
      <c r="D104" t="s">
        <v>49</v>
      </c>
      <c r="E104" s="13" t="s">
        <v>16</v>
      </c>
      <c r="F104" s="9">
        <v>961774.33641088184</v>
      </c>
      <c r="G104" s="14">
        <v>71891.377384926862</v>
      </c>
      <c r="H104" s="15">
        <v>79401.19754152438</v>
      </c>
      <c r="I104" s="16">
        <v>3987.109999999996</v>
      </c>
      <c r="J104" s="8">
        <f t="shared" si="4"/>
        <v>889883</v>
      </c>
      <c r="K104" s="9">
        <f t="shared" si="5"/>
        <v>11.21</v>
      </c>
      <c r="L104" s="10">
        <f t="shared" si="6"/>
        <v>7.4748695887653607E-2</v>
      </c>
      <c r="M104" s="11">
        <f t="shared" si="7"/>
        <v>19.899999999999999</v>
      </c>
      <c r="N104">
        <f>F104/I104</f>
        <v>241.22091851262763</v>
      </c>
    </row>
    <row r="105" spans="1:14" x14ac:dyDescent="0.25">
      <c r="A105" t="s">
        <v>34</v>
      </c>
      <c r="B105" s="13">
        <v>18</v>
      </c>
      <c r="C105" t="s">
        <v>35</v>
      </c>
      <c r="D105" t="s">
        <v>49</v>
      </c>
      <c r="E105" s="13" t="s">
        <v>16</v>
      </c>
      <c r="F105" s="9">
        <v>1778439.7643535123</v>
      </c>
      <c r="G105" s="14">
        <v>135012.39169338057</v>
      </c>
      <c r="H105" s="15">
        <v>173165.485231595</v>
      </c>
      <c r="I105" s="16">
        <v>7293.4899999999907</v>
      </c>
      <c r="J105" s="8">
        <f t="shared" si="4"/>
        <v>1643427</v>
      </c>
      <c r="K105" s="9">
        <f t="shared" si="5"/>
        <v>9.49</v>
      </c>
      <c r="L105" s="10">
        <f t="shared" si="6"/>
        <v>7.5916201605208414E-2</v>
      </c>
      <c r="M105" s="11">
        <f t="shared" si="7"/>
        <v>23.7</v>
      </c>
      <c r="N105">
        <f>F105/I105</f>
        <v>243.83933677204118</v>
      </c>
    </row>
    <row r="106" spans="1:14" x14ac:dyDescent="0.25">
      <c r="A106" t="s">
        <v>34</v>
      </c>
      <c r="B106" s="13">
        <v>21</v>
      </c>
      <c r="C106" t="s">
        <v>35</v>
      </c>
      <c r="D106" t="s">
        <v>49</v>
      </c>
      <c r="E106" s="13" t="s">
        <v>16</v>
      </c>
      <c r="F106" s="9">
        <v>1936489.7647775316</v>
      </c>
      <c r="G106" s="14">
        <v>133044.68452789716</v>
      </c>
      <c r="H106" s="15">
        <v>208165.46498755633</v>
      </c>
      <c r="I106" s="16">
        <v>8000.2600000000029</v>
      </c>
      <c r="J106" s="8">
        <f t="shared" si="4"/>
        <v>1803445</v>
      </c>
      <c r="K106" s="9">
        <f t="shared" si="5"/>
        <v>8.66</v>
      </c>
      <c r="L106" s="10">
        <f t="shared" si="6"/>
        <v>6.8704047368503204E-2</v>
      </c>
      <c r="M106" s="11">
        <f t="shared" si="7"/>
        <v>26</v>
      </c>
      <c r="N106">
        <f>F106/I106</f>
        <v>242.05335386319081</v>
      </c>
    </row>
    <row r="107" spans="1:14" x14ac:dyDescent="0.25">
      <c r="A107" t="s">
        <v>34</v>
      </c>
      <c r="B107" s="13">
        <v>22</v>
      </c>
      <c r="C107" t="s">
        <v>35</v>
      </c>
      <c r="D107" t="s">
        <v>49</v>
      </c>
      <c r="E107" s="13" t="s">
        <v>16</v>
      </c>
      <c r="F107" s="9">
        <v>1183773.4636991445</v>
      </c>
      <c r="G107" s="14">
        <v>54278.792025937233</v>
      </c>
      <c r="H107" s="15">
        <v>72188.64089150785</v>
      </c>
      <c r="I107" s="16">
        <v>5148.6700000000019</v>
      </c>
      <c r="J107" s="8">
        <f t="shared" si="4"/>
        <v>1129495</v>
      </c>
      <c r="K107" s="9">
        <f t="shared" si="5"/>
        <v>15.65</v>
      </c>
      <c r="L107" s="10">
        <f t="shared" si="6"/>
        <v>4.5852347337068E-2</v>
      </c>
      <c r="M107" s="11">
        <f t="shared" si="7"/>
        <v>14</v>
      </c>
      <c r="N107">
        <f>F107/I107</f>
        <v>229.91830194965769</v>
      </c>
    </row>
    <row r="108" spans="1:14" x14ac:dyDescent="0.25">
      <c r="A108" t="s">
        <v>34</v>
      </c>
      <c r="B108" s="13">
        <v>54</v>
      </c>
      <c r="C108" t="s">
        <v>35</v>
      </c>
      <c r="D108" t="s">
        <v>49</v>
      </c>
      <c r="E108" s="13" t="s">
        <v>16</v>
      </c>
      <c r="F108" s="9">
        <v>954575.57061236363</v>
      </c>
      <c r="G108" s="14">
        <v>97438.75982234109</v>
      </c>
      <c r="H108" s="15">
        <v>88784.564493579121</v>
      </c>
      <c r="I108" s="16">
        <v>3835.8099999999959</v>
      </c>
      <c r="J108" s="8">
        <f t="shared" si="4"/>
        <v>857137</v>
      </c>
      <c r="K108" s="9">
        <f t="shared" si="5"/>
        <v>9.65</v>
      </c>
      <c r="L108" s="10">
        <f t="shared" si="6"/>
        <v>0.10207548026798316</v>
      </c>
      <c r="M108" s="11">
        <f t="shared" si="7"/>
        <v>23.1</v>
      </c>
      <c r="N108">
        <f>F108/I108</f>
        <v>248.85892956438528</v>
      </c>
    </row>
    <row r="109" spans="1:14" x14ac:dyDescent="0.25">
      <c r="A109" t="s">
        <v>34</v>
      </c>
      <c r="B109" s="13">
        <v>62</v>
      </c>
      <c r="C109" t="s">
        <v>35</v>
      </c>
      <c r="D109" t="s">
        <v>49</v>
      </c>
      <c r="E109" s="13" t="s">
        <v>16</v>
      </c>
      <c r="F109" s="9">
        <v>517939.31915405393</v>
      </c>
      <c r="G109" s="14">
        <v>28373.860136231033</v>
      </c>
      <c r="H109" s="15">
        <v>34204.191185189906</v>
      </c>
      <c r="I109" s="16">
        <v>1995.7799999999988</v>
      </c>
      <c r="J109" s="8">
        <f t="shared" si="4"/>
        <v>489565</v>
      </c>
      <c r="K109" s="9">
        <f t="shared" si="5"/>
        <v>14.31</v>
      </c>
      <c r="L109" s="10">
        <f t="shared" si="6"/>
        <v>5.478220920275724E-2</v>
      </c>
      <c r="M109" s="11">
        <f t="shared" si="7"/>
        <v>17.100000000000001</v>
      </c>
      <c r="N109">
        <f>F109/I109</f>
        <v>259.51724095544307</v>
      </c>
    </row>
    <row r="110" spans="1:14" x14ac:dyDescent="0.25">
      <c r="A110" t="s">
        <v>34</v>
      </c>
      <c r="B110" s="13">
        <v>63</v>
      </c>
      <c r="C110" t="s">
        <v>35</v>
      </c>
      <c r="D110" t="s">
        <v>49</v>
      </c>
      <c r="E110" s="13" t="s">
        <v>16</v>
      </c>
      <c r="F110" s="9">
        <v>1163805.9120045365</v>
      </c>
      <c r="G110" s="14">
        <v>72384.411381946396</v>
      </c>
      <c r="H110" s="15">
        <v>70242.795918591277</v>
      </c>
      <c r="I110" s="16">
        <v>4629.55</v>
      </c>
      <c r="J110" s="8">
        <f t="shared" si="4"/>
        <v>1091422</v>
      </c>
      <c r="K110" s="9">
        <f t="shared" si="5"/>
        <v>15.54</v>
      </c>
      <c r="L110" s="10">
        <f t="shared" si="6"/>
        <v>6.2196291181638406E-2</v>
      </c>
      <c r="M110" s="11">
        <f t="shared" si="7"/>
        <v>15.2</v>
      </c>
      <c r="N110">
        <f>F110/I110</f>
        <v>251.3864008390743</v>
      </c>
    </row>
    <row r="111" spans="1:14" x14ac:dyDescent="0.25">
      <c r="A111" t="s">
        <v>34</v>
      </c>
      <c r="B111" s="13">
        <v>64</v>
      </c>
      <c r="C111" t="s">
        <v>35</v>
      </c>
      <c r="D111" t="s">
        <v>49</v>
      </c>
      <c r="E111" s="13" t="s">
        <v>16</v>
      </c>
      <c r="F111" s="9">
        <v>959224.20672765817</v>
      </c>
      <c r="G111" s="14">
        <v>62505.345590009536</v>
      </c>
      <c r="H111" s="15">
        <v>83468.444543260848</v>
      </c>
      <c r="I111" s="16">
        <v>3950.5900000000006</v>
      </c>
      <c r="J111" s="8">
        <f t="shared" si="4"/>
        <v>896719</v>
      </c>
      <c r="K111" s="9">
        <f t="shared" si="5"/>
        <v>10.74</v>
      </c>
      <c r="L111" s="10">
        <f t="shared" si="6"/>
        <v>6.5162393892501072E-2</v>
      </c>
      <c r="M111" s="11">
        <f t="shared" si="7"/>
        <v>21.1</v>
      </c>
      <c r="N111">
        <f>F111/I111</f>
        <v>242.80530420207057</v>
      </c>
    </row>
    <row r="112" spans="1:14" x14ac:dyDescent="0.25">
      <c r="A112" t="s">
        <v>34</v>
      </c>
      <c r="B112" s="13">
        <v>68</v>
      </c>
      <c r="C112" t="s">
        <v>35</v>
      </c>
      <c r="D112" t="s">
        <v>49</v>
      </c>
      <c r="E112" s="13" t="s">
        <v>16</v>
      </c>
      <c r="F112" s="9">
        <v>930213.30752198689</v>
      </c>
      <c r="G112" s="14">
        <v>41666.191431888918</v>
      </c>
      <c r="H112" s="15">
        <v>59031.322857459323</v>
      </c>
      <c r="I112" s="16">
        <v>3864.600000000004</v>
      </c>
      <c r="J112" s="8">
        <f t="shared" si="4"/>
        <v>888547</v>
      </c>
      <c r="K112" s="9">
        <f t="shared" si="5"/>
        <v>15.05</v>
      </c>
      <c r="L112" s="10">
        <f t="shared" si="6"/>
        <v>4.479208273517854E-2</v>
      </c>
      <c r="M112" s="11">
        <f t="shared" si="7"/>
        <v>15.3</v>
      </c>
      <c r="N112">
        <f>F112/I112</f>
        <v>240.70105768306834</v>
      </c>
    </row>
    <row r="113" spans="1:14" x14ac:dyDescent="0.25">
      <c r="A113" t="s">
        <v>34</v>
      </c>
      <c r="B113" s="13">
        <v>70</v>
      </c>
      <c r="C113" t="s">
        <v>35</v>
      </c>
      <c r="D113" t="s">
        <v>49</v>
      </c>
      <c r="E113" s="13" t="s">
        <v>16</v>
      </c>
      <c r="F113" s="9">
        <v>100291.1954721845</v>
      </c>
      <c r="G113" s="14">
        <v>2910.7656781276396</v>
      </c>
      <c r="H113" s="15">
        <v>3576.3179891205723</v>
      </c>
      <c r="I113" s="16">
        <v>398.02999999999975</v>
      </c>
      <c r="J113" s="8">
        <f t="shared" si="4"/>
        <v>97380</v>
      </c>
      <c r="K113" s="9">
        <f t="shared" si="5"/>
        <v>27.23</v>
      </c>
      <c r="L113" s="10">
        <f t="shared" si="6"/>
        <v>2.9023142703837178E-2</v>
      </c>
      <c r="M113" s="11">
        <f t="shared" si="7"/>
        <v>9</v>
      </c>
      <c r="N113">
        <f>F113/I113</f>
        <v>251.96893568872838</v>
      </c>
    </row>
    <row r="114" spans="1:14" x14ac:dyDescent="0.25">
      <c r="A114" t="s">
        <v>34</v>
      </c>
      <c r="B114" s="13">
        <v>71</v>
      </c>
      <c r="C114" t="s">
        <v>35</v>
      </c>
      <c r="D114" t="s">
        <v>49</v>
      </c>
      <c r="E114" s="13" t="s">
        <v>16</v>
      </c>
      <c r="F114" s="9">
        <v>171711.15033443598</v>
      </c>
      <c r="G114" s="14">
        <v>6744.2235227422325</v>
      </c>
      <c r="H114" s="15">
        <v>7882.1964381028956</v>
      </c>
      <c r="I114" s="16">
        <v>669.1800000000004</v>
      </c>
      <c r="J114" s="8">
        <f t="shared" si="4"/>
        <v>164967</v>
      </c>
      <c r="K114" s="9">
        <f t="shared" si="5"/>
        <v>20.93</v>
      </c>
      <c r="L114" s="10">
        <f t="shared" si="6"/>
        <v>3.9276561304299323E-2</v>
      </c>
      <c r="M114" s="11">
        <f t="shared" si="7"/>
        <v>11.8</v>
      </c>
      <c r="N114">
        <f>F114/I114</f>
        <v>256.5993459673569</v>
      </c>
    </row>
    <row r="115" spans="1:14" x14ac:dyDescent="0.25">
      <c r="A115" t="s">
        <v>34</v>
      </c>
      <c r="B115" s="13">
        <v>74</v>
      </c>
      <c r="C115" t="s">
        <v>35</v>
      </c>
      <c r="D115" t="s">
        <v>49</v>
      </c>
      <c r="E115" s="13" t="s">
        <v>16</v>
      </c>
      <c r="F115" s="9">
        <v>994940.53227677266</v>
      </c>
      <c r="G115" s="14">
        <v>55258.31035275881</v>
      </c>
      <c r="H115" s="15">
        <v>59547.481626612229</v>
      </c>
      <c r="I115" s="16">
        <v>3965.3399999999974</v>
      </c>
      <c r="J115" s="8">
        <f t="shared" si="4"/>
        <v>939682</v>
      </c>
      <c r="K115" s="9">
        <f t="shared" si="5"/>
        <v>15.78</v>
      </c>
      <c r="L115" s="10">
        <f t="shared" si="6"/>
        <v>5.5539309697543858E-2</v>
      </c>
      <c r="M115" s="11">
        <f t="shared" si="7"/>
        <v>15</v>
      </c>
      <c r="N115">
        <f>F115/I115</f>
        <v>250.90926182288865</v>
      </c>
    </row>
    <row r="116" spans="1:14" x14ac:dyDescent="0.25">
      <c r="A116" t="s">
        <v>34</v>
      </c>
      <c r="B116" s="17" t="s">
        <v>38</v>
      </c>
      <c r="C116" s="18" t="s">
        <v>59</v>
      </c>
      <c r="D116" s="18" t="s">
        <v>42</v>
      </c>
      <c r="E116" s="18" t="s">
        <v>7</v>
      </c>
      <c r="F116" s="28">
        <v>28785514.954203244</v>
      </c>
      <c r="G116" s="18">
        <v>3281814.5896480251</v>
      </c>
      <c r="H116" s="18">
        <v>3759408</v>
      </c>
      <c r="I116" s="18">
        <v>27208.669999999922</v>
      </c>
      <c r="J116" s="8">
        <f t="shared" si="4"/>
        <v>25503700</v>
      </c>
      <c r="K116" s="9">
        <f t="shared" si="5"/>
        <v>6.78</v>
      </c>
      <c r="L116" s="10">
        <f t="shared" si="6"/>
        <v>0.11400923675915746</v>
      </c>
      <c r="M116" s="11">
        <f t="shared" si="7"/>
        <v>138.19999999999999</v>
      </c>
      <c r="N116">
        <f>F116/I116</f>
        <v>1057.953768199744</v>
      </c>
    </row>
    <row r="117" spans="1:14" x14ac:dyDescent="0.25">
      <c r="A117" t="s">
        <v>34</v>
      </c>
      <c r="B117" s="17" t="s">
        <v>39</v>
      </c>
      <c r="C117" s="18" t="s">
        <v>59</v>
      </c>
      <c r="D117" s="18" t="s">
        <v>42</v>
      </c>
      <c r="E117" s="18" t="s">
        <v>7</v>
      </c>
      <c r="F117" s="28">
        <v>30590044.805197511</v>
      </c>
      <c r="G117" s="18">
        <v>4684617.6290918551</v>
      </c>
      <c r="H117" s="18">
        <v>5242865</v>
      </c>
      <c r="I117" s="18">
        <v>31998.199999999983</v>
      </c>
      <c r="J117" s="8">
        <f t="shared" si="4"/>
        <v>25905427</v>
      </c>
      <c r="K117" s="9">
        <f t="shared" si="5"/>
        <v>4.9400000000000004</v>
      </c>
      <c r="L117" s="10">
        <f t="shared" si="6"/>
        <v>0.15314190152137006</v>
      </c>
      <c r="M117" s="11">
        <f t="shared" si="7"/>
        <v>163.80000000000001</v>
      </c>
      <c r="N117">
        <f>F117/I117</f>
        <v>955.99267475037743</v>
      </c>
    </row>
    <row r="118" spans="1:14" x14ac:dyDescent="0.25">
      <c r="A118" t="s">
        <v>34</v>
      </c>
      <c r="B118" s="17" t="s">
        <v>38</v>
      </c>
      <c r="C118" s="18" t="s">
        <v>59</v>
      </c>
      <c r="D118" s="18" t="s">
        <v>42</v>
      </c>
      <c r="E118" s="18" t="s">
        <v>15</v>
      </c>
      <c r="F118" s="18">
        <v>5685832.1465178253</v>
      </c>
      <c r="G118" s="18">
        <v>694834.63520307583</v>
      </c>
      <c r="H118" s="18">
        <v>795952</v>
      </c>
      <c r="I118" s="18">
        <v>5394.6100000000006</v>
      </c>
      <c r="J118" s="8">
        <f t="shared" si="4"/>
        <v>4990998</v>
      </c>
      <c r="K118" s="9">
        <f t="shared" si="5"/>
        <v>6.27</v>
      </c>
      <c r="L118" s="10">
        <f t="shared" si="6"/>
        <v>0.12220456343028231</v>
      </c>
      <c r="M118" s="11">
        <f t="shared" si="7"/>
        <v>147.5</v>
      </c>
      <c r="N118">
        <f>F118/I118</f>
        <v>1053.9839110737987</v>
      </c>
    </row>
    <row r="119" spans="1:14" x14ac:dyDescent="0.25">
      <c r="A119" t="s">
        <v>34</v>
      </c>
      <c r="B119" s="17" t="s">
        <v>39</v>
      </c>
      <c r="C119" s="18" t="s">
        <v>59</v>
      </c>
      <c r="D119" s="18" t="s">
        <v>42</v>
      </c>
      <c r="E119" s="18" t="s">
        <v>15</v>
      </c>
      <c r="F119" s="18">
        <v>6170442.3034944655</v>
      </c>
      <c r="G119" s="18">
        <v>799003.86659798806</v>
      </c>
      <c r="H119" s="18">
        <v>894218</v>
      </c>
      <c r="I119" s="18">
        <v>6429.399999999996</v>
      </c>
      <c r="J119" s="8">
        <f t="shared" si="4"/>
        <v>5371438</v>
      </c>
      <c r="K119" s="9">
        <f t="shared" si="5"/>
        <v>6.01</v>
      </c>
      <c r="L119" s="10">
        <f t="shared" si="6"/>
        <v>0.12948891299826165</v>
      </c>
      <c r="M119" s="11">
        <f t="shared" si="7"/>
        <v>139.1</v>
      </c>
      <c r="N119">
        <f>F119/I119</f>
        <v>959.7228829275623</v>
      </c>
    </row>
    <row r="120" spans="1:14" x14ac:dyDescent="0.25">
      <c r="A120" t="s">
        <v>34</v>
      </c>
      <c r="B120" s="17" t="s">
        <v>38</v>
      </c>
      <c r="C120" s="18" t="s">
        <v>59</v>
      </c>
      <c r="D120" s="18" t="s">
        <v>42</v>
      </c>
      <c r="E120" s="18" t="s">
        <v>16</v>
      </c>
      <c r="F120" s="18">
        <v>6246060.3981815418</v>
      </c>
      <c r="G120" s="18">
        <v>747772.70426752314</v>
      </c>
      <c r="H120" s="18">
        <v>856594</v>
      </c>
      <c r="I120" s="18">
        <v>5933</v>
      </c>
      <c r="J120" s="8">
        <f t="shared" si="4"/>
        <v>5498288</v>
      </c>
      <c r="K120" s="9">
        <f t="shared" si="5"/>
        <v>6.42</v>
      </c>
      <c r="L120" s="10">
        <f t="shared" si="6"/>
        <v>0.11971909597371606</v>
      </c>
      <c r="M120" s="11">
        <f t="shared" si="7"/>
        <v>144.4</v>
      </c>
      <c r="N120">
        <f>F120/I120</f>
        <v>1052.7659528369361</v>
      </c>
    </row>
    <row r="121" spans="1:14" x14ac:dyDescent="0.25">
      <c r="A121" t="s">
        <v>34</v>
      </c>
      <c r="B121" s="17" t="s">
        <v>39</v>
      </c>
      <c r="C121" s="18" t="s">
        <v>59</v>
      </c>
      <c r="D121" s="18" t="s">
        <v>42</v>
      </c>
      <c r="E121" s="18" t="s">
        <v>16</v>
      </c>
      <c r="F121" s="18">
        <v>6778481.0324054072</v>
      </c>
      <c r="G121" s="18">
        <v>730539.49519153277</v>
      </c>
      <c r="H121" s="18">
        <v>817595</v>
      </c>
      <c r="I121" s="18">
        <v>7063</v>
      </c>
      <c r="J121" s="8">
        <f t="shared" si="4"/>
        <v>6047942</v>
      </c>
      <c r="K121" s="9">
        <f t="shared" si="5"/>
        <v>7.4</v>
      </c>
      <c r="L121" s="10">
        <f t="shared" si="6"/>
        <v>0.10777333324370077</v>
      </c>
      <c r="M121" s="11">
        <f t="shared" si="7"/>
        <v>115.8</v>
      </c>
      <c r="N121">
        <f>F121/I121</f>
        <v>959.7169803773761</v>
      </c>
    </row>
    <row r="122" spans="1:14" x14ac:dyDescent="0.25">
      <c r="A122" t="s">
        <v>34</v>
      </c>
      <c r="B122" s="18">
        <v>888</v>
      </c>
      <c r="C122" s="18" t="s">
        <v>58</v>
      </c>
      <c r="D122" s="18" t="s">
        <v>43</v>
      </c>
      <c r="E122" s="18" t="s">
        <v>7</v>
      </c>
      <c r="F122" s="18">
        <v>11650105.060000001</v>
      </c>
      <c r="G122" s="18">
        <v>258108.61000000002</v>
      </c>
      <c r="H122" s="18">
        <v>77076.800000000003</v>
      </c>
      <c r="I122" s="18">
        <v>444.16000000000145</v>
      </c>
      <c r="J122" s="8">
        <f t="shared" si="4"/>
        <v>11391996</v>
      </c>
      <c r="K122" s="9">
        <f t="shared" si="5"/>
        <v>147.80000000000001</v>
      </c>
      <c r="L122" s="10">
        <f t="shared" si="6"/>
        <v>2.2155045698789604E-2</v>
      </c>
      <c r="M122" s="11">
        <f t="shared" si="7"/>
        <v>173.5</v>
      </c>
      <c r="N122">
        <f>F122/I122</f>
        <v>26229.523279899051</v>
      </c>
    </row>
    <row r="123" spans="1:14" x14ac:dyDescent="0.25">
      <c r="A123" t="s">
        <v>34</v>
      </c>
      <c r="B123" s="13">
        <v>501</v>
      </c>
      <c r="C123" t="s">
        <v>37</v>
      </c>
      <c r="D123" t="s">
        <v>49</v>
      </c>
      <c r="E123" s="13" t="s">
        <v>7</v>
      </c>
      <c r="F123" s="9">
        <v>34963.620130523581</v>
      </c>
      <c r="G123" s="14">
        <v>520.07476596031563</v>
      </c>
      <c r="H123" s="15">
        <v>306.96203786690387</v>
      </c>
      <c r="I123" s="16">
        <v>73.259999999999991</v>
      </c>
      <c r="J123" s="8">
        <f t="shared" si="4"/>
        <v>34444</v>
      </c>
      <c r="K123" s="9">
        <f t="shared" si="5"/>
        <v>112.21</v>
      </c>
      <c r="L123" s="10">
        <f t="shared" si="6"/>
        <v>1.4874740201924494E-2</v>
      </c>
      <c r="M123" s="11">
        <f t="shared" si="7"/>
        <v>4.2</v>
      </c>
      <c r="N123">
        <f>F123/I123</f>
        <v>477.25389203553897</v>
      </c>
    </row>
    <row r="124" spans="1:14" x14ac:dyDescent="0.25">
      <c r="A124" t="s">
        <v>34</v>
      </c>
      <c r="B124" s="13">
        <v>515</v>
      </c>
      <c r="C124" t="s">
        <v>37</v>
      </c>
      <c r="D124" t="s">
        <v>49</v>
      </c>
      <c r="E124" s="13" t="s">
        <v>7</v>
      </c>
      <c r="F124" s="9">
        <v>3068526.0668735486</v>
      </c>
      <c r="G124" s="14">
        <v>244190.04209740239</v>
      </c>
      <c r="H124" s="15">
        <v>227230.751010687</v>
      </c>
      <c r="I124" s="16">
        <v>10805.919999999967</v>
      </c>
      <c r="J124" s="8">
        <f t="shared" si="4"/>
        <v>2824336</v>
      </c>
      <c r="K124" s="9">
        <f t="shared" si="5"/>
        <v>12.43</v>
      </c>
      <c r="L124" s="10">
        <f t="shared" si="6"/>
        <v>7.9578936849704546E-2</v>
      </c>
      <c r="M124" s="11">
        <f t="shared" si="7"/>
        <v>21</v>
      </c>
      <c r="N124">
        <f>F124/I124</f>
        <v>283.9671279144726</v>
      </c>
    </row>
    <row r="125" spans="1:14" x14ac:dyDescent="0.25">
      <c r="A125" t="s">
        <v>34</v>
      </c>
      <c r="B125" s="13">
        <v>612</v>
      </c>
      <c r="C125" t="s">
        <v>37</v>
      </c>
      <c r="D125" t="s">
        <v>49</v>
      </c>
      <c r="E125" s="13" t="s">
        <v>7</v>
      </c>
      <c r="F125" s="9">
        <v>3386488.7869141125</v>
      </c>
      <c r="G125" s="14">
        <v>232226.38876904137</v>
      </c>
      <c r="H125" s="15">
        <v>179688.42853626673</v>
      </c>
      <c r="I125" s="16">
        <v>12605.759999999978</v>
      </c>
      <c r="J125" s="8">
        <f t="shared" si="4"/>
        <v>3154262</v>
      </c>
      <c r="K125" s="9">
        <f t="shared" si="5"/>
        <v>17.55</v>
      </c>
      <c r="L125" s="10">
        <f t="shared" si="6"/>
        <v>6.8574385855461287E-2</v>
      </c>
      <c r="M125" s="11">
        <f t="shared" si="7"/>
        <v>14.3</v>
      </c>
      <c r="N125">
        <f>F125/I125</f>
        <v>268.6461416776234</v>
      </c>
    </row>
    <row r="126" spans="1:14" x14ac:dyDescent="0.25">
      <c r="A126" t="s">
        <v>34</v>
      </c>
      <c r="B126" s="13">
        <v>645</v>
      </c>
      <c r="C126" t="s">
        <v>37</v>
      </c>
      <c r="D126" t="s">
        <v>49</v>
      </c>
      <c r="E126" s="13" t="s">
        <v>7</v>
      </c>
      <c r="F126" s="9">
        <v>2951484.9086527415</v>
      </c>
      <c r="G126" s="14">
        <v>271088.91717625444</v>
      </c>
      <c r="H126" s="15">
        <v>132576.06316283124</v>
      </c>
      <c r="I126" s="16">
        <v>12267.430000000044</v>
      </c>
      <c r="J126" s="8">
        <f t="shared" si="4"/>
        <v>2680396</v>
      </c>
      <c r="K126" s="9">
        <f t="shared" si="5"/>
        <v>20.22</v>
      </c>
      <c r="L126" s="10">
        <f t="shared" si="6"/>
        <v>9.1848315531451549E-2</v>
      </c>
      <c r="M126" s="11">
        <f t="shared" si="7"/>
        <v>10.8</v>
      </c>
      <c r="N126">
        <f>F126/I126</f>
        <v>240.59521094905216</v>
      </c>
    </row>
    <row r="127" spans="1:14" x14ac:dyDescent="0.25">
      <c r="A127" t="s">
        <v>34</v>
      </c>
      <c r="B127" s="13">
        <v>721</v>
      </c>
      <c r="C127" t="s">
        <v>37</v>
      </c>
      <c r="D127" t="s">
        <v>49</v>
      </c>
      <c r="E127" s="13" t="s">
        <v>7</v>
      </c>
      <c r="F127" s="9">
        <v>1651881.8703945202</v>
      </c>
      <c r="G127" s="14">
        <v>113176.5809125526</v>
      </c>
      <c r="H127" s="15">
        <v>100457.53185136714</v>
      </c>
      <c r="I127" s="16">
        <v>6538.8500000000395</v>
      </c>
      <c r="J127" s="8">
        <f t="shared" si="4"/>
        <v>1538705</v>
      </c>
      <c r="K127" s="9">
        <f t="shared" si="5"/>
        <v>15.32</v>
      </c>
      <c r="L127" s="10">
        <f t="shared" si="6"/>
        <v>6.8513725430936867E-2</v>
      </c>
      <c r="M127" s="11">
        <f t="shared" si="7"/>
        <v>15.4</v>
      </c>
      <c r="N127">
        <f>F127/I127</f>
        <v>252.62574770709074</v>
      </c>
    </row>
    <row r="128" spans="1:14" x14ac:dyDescent="0.25">
      <c r="A128" t="s">
        <v>34</v>
      </c>
      <c r="B128" s="13">
        <v>722</v>
      </c>
      <c r="C128" t="s">
        <v>37</v>
      </c>
      <c r="D128" t="s">
        <v>49</v>
      </c>
      <c r="E128" s="13" t="s">
        <v>7</v>
      </c>
      <c r="F128" s="9">
        <v>1555180.0822076064</v>
      </c>
      <c r="G128" s="14">
        <v>73689.666491717871</v>
      </c>
      <c r="H128" s="15">
        <v>103205.47283418935</v>
      </c>
      <c r="I128" s="16">
        <v>5998.7199999999757</v>
      </c>
      <c r="J128" s="8">
        <f t="shared" si="4"/>
        <v>1481490</v>
      </c>
      <c r="K128" s="9">
        <f t="shared" si="5"/>
        <v>14.35</v>
      </c>
      <c r="L128" s="10">
        <f t="shared" si="6"/>
        <v>4.7383365653136486E-2</v>
      </c>
      <c r="M128" s="11">
        <f t="shared" si="7"/>
        <v>17.2</v>
      </c>
      <c r="N128">
        <f>F128/I128</f>
        <v>259.25198745859331</v>
      </c>
    </row>
    <row r="129" spans="1:15" x14ac:dyDescent="0.25">
      <c r="A129" t="s">
        <v>34</v>
      </c>
      <c r="B129" s="13">
        <v>723</v>
      </c>
      <c r="C129" t="s">
        <v>37</v>
      </c>
      <c r="D129" t="s">
        <v>49</v>
      </c>
      <c r="E129" s="13" t="s">
        <v>7</v>
      </c>
      <c r="F129" s="9">
        <v>1350614.7006627023</v>
      </c>
      <c r="G129" s="14">
        <v>59910.772894029171</v>
      </c>
      <c r="H129" s="15">
        <v>68595.503064695935</v>
      </c>
      <c r="I129" s="16">
        <v>5249.3600000000079</v>
      </c>
      <c r="J129" s="8">
        <f t="shared" si="4"/>
        <v>1290704</v>
      </c>
      <c r="K129" s="9">
        <f t="shared" si="5"/>
        <v>18.82</v>
      </c>
      <c r="L129" s="10">
        <f t="shared" si="6"/>
        <v>4.4358152524648906E-2</v>
      </c>
      <c r="M129" s="11">
        <f t="shared" si="7"/>
        <v>13.1</v>
      </c>
      <c r="N129">
        <f>F129/I129</f>
        <v>257.29130801901573</v>
      </c>
    </row>
    <row r="130" spans="1:15" x14ac:dyDescent="0.25">
      <c r="A130" t="s">
        <v>34</v>
      </c>
      <c r="B130" s="13">
        <v>724</v>
      </c>
      <c r="C130" t="s">
        <v>37</v>
      </c>
      <c r="D130" t="s">
        <v>49</v>
      </c>
      <c r="E130" s="13" t="s">
        <v>7</v>
      </c>
      <c r="F130" s="9">
        <v>2244852.3166720485</v>
      </c>
      <c r="G130" s="14">
        <v>156620.66391618375</v>
      </c>
      <c r="H130" s="15">
        <v>198844.12118698837</v>
      </c>
      <c r="I130" s="16">
        <v>7982.4400000000005</v>
      </c>
      <c r="J130" s="8">
        <f t="shared" ref="J130:J193" si="8">ROUND(F130-G130,0)</f>
        <v>2088232</v>
      </c>
      <c r="K130" s="9">
        <f t="shared" ref="K130:K193" si="9">ROUND(J130/H130,2)</f>
        <v>10.5</v>
      </c>
      <c r="L130" s="10">
        <f t="shared" ref="L130:L193" si="10">+G130/F130</f>
        <v>6.9768805169495934E-2</v>
      </c>
      <c r="M130" s="11">
        <f t="shared" ref="M130:M193" si="11">ROUND(H130/I130,1)</f>
        <v>24.9</v>
      </c>
      <c r="N130">
        <f>F130/I130</f>
        <v>281.22382588181665</v>
      </c>
    </row>
    <row r="131" spans="1:15" x14ac:dyDescent="0.25">
      <c r="A131" t="s">
        <v>34</v>
      </c>
      <c r="B131" s="13">
        <v>515</v>
      </c>
      <c r="C131" t="s">
        <v>37</v>
      </c>
      <c r="D131" t="s">
        <v>49</v>
      </c>
      <c r="E131" s="13" t="s">
        <v>15</v>
      </c>
      <c r="F131" s="9">
        <v>505705.58891696396</v>
      </c>
      <c r="G131" s="14">
        <v>36092.98602985109</v>
      </c>
      <c r="H131" s="15">
        <v>40406.5063338705</v>
      </c>
      <c r="I131" s="16">
        <v>1665.7099999999989</v>
      </c>
      <c r="J131" s="8">
        <f t="shared" si="8"/>
        <v>469613</v>
      </c>
      <c r="K131" s="9">
        <f t="shared" si="9"/>
        <v>11.62</v>
      </c>
      <c r="L131" s="10">
        <f t="shared" si="10"/>
        <v>7.1371538738871837E-2</v>
      </c>
      <c r="M131" s="11">
        <f t="shared" si="11"/>
        <v>24.3</v>
      </c>
      <c r="N131">
        <f>F131/I131</f>
        <v>303.59761838313051</v>
      </c>
      <c r="O131" s="15"/>
    </row>
    <row r="132" spans="1:15" x14ac:dyDescent="0.25">
      <c r="A132" t="s">
        <v>34</v>
      </c>
      <c r="B132" s="13">
        <v>612</v>
      </c>
      <c r="C132" t="s">
        <v>37</v>
      </c>
      <c r="D132" t="s">
        <v>49</v>
      </c>
      <c r="E132" s="13" t="s">
        <v>15</v>
      </c>
      <c r="F132" s="9">
        <v>528393.76260647562</v>
      </c>
      <c r="G132" s="14">
        <v>20317.660297596529</v>
      </c>
      <c r="H132" s="15">
        <v>21802.714607395847</v>
      </c>
      <c r="I132" s="16">
        <v>1955.9199999999978</v>
      </c>
      <c r="J132" s="8">
        <f t="shared" si="8"/>
        <v>508076</v>
      </c>
      <c r="K132" s="9">
        <f t="shared" si="9"/>
        <v>23.3</v>
      </c>
      <c r="L132" s="10">
        <f t="shared" si="10"/>
        <v>3.8451741363056603E-2</v>
      </c>
      <c r="M132" s="11">
        <f t="shared" si="11"/>
        <v>11.1</v>
      </c>
      <c r="N132">
        <f>F132/I132</f>
        <v>270.15100955380393</v>
      </c>
      <c r="O132" s="15"/>
    </row>
    <row r="133" spans="1:15" x14ac:dyDescent="0.25">
      <c r="A133" t="s">
        <v>34</v>
      </c>
      <c r="B133" s="13">
        <v>645</v>
      </c>
      <c r="C133" t="s">
        <v>37</v>
      </c>
      <c r="D133" t="s">
        <v>49</v>
      </c>
      <c r="E133" s="13" t="s">
        <v>15</v>
      </c>
      <c r="F133" s="9">
        <v>276143.132482866</v>
      </c>
      <c r="G133" s="14">
        <v>9795.869423828959</v>
      </c>
      <c r="H133" s="15">
        <v>11689.787195479354</v>
      </c>
      <c r="I133" s="16">
        <v>1258.8499999999997</v>
      </c>
      <c r="J133" s="8">
        <f t="shared" si="8"/>
        <v>266347</v>
      </c>
      <c r="K133" s="9">
        <f t="shared" si="9"/>
        <v>22.78</v>
      </c>
      <c r="L133" s="10">
        <f t="shared" si="10"/>
        <v>3.5473883908508093E-2</v>
      </c>
      <c r="M133" s="11">
        <f t="shared" si="11"/>
        <v>9.3000000000000007</v>
      </c>
      <c r="N133">
        <f>F133/I133</f>
        <v>219.3614270825484</v>
      </c>
      <c r="O133" s="15"/>
    </row>
    <row r="134" spans="1:15" x14ac:dyDescent="0.25">
      <c r="A134" t="s">
        <v>34</v>
      </c>
      <c r="B134" s="13">
        <v>721</v>
      </c>
      <c r="C134" t="s">
        <v>37</v>
      </c>
      <c r="D134" t="s">
        <v>49</v>
      </c>
      <c r="E134" s="13" t="s">
        <v>15</v>
      </c>
      <c r="F134" s="9">
        <v>214566.38799818078</v>
      </c>
      <c r="G134" s="14">
        <v>6414.9935839430073</v>
      </c>
      <c r="H134" s="15">
        <v>10493.476239682996</v>
      </c>
      <c r="I134" s="16">
        <v>858</v>
      </c>
      <c r="J134" s="8">
        <f t="shared" si="8"/>
        <v>208151</v>
      </c>
      <c r="K134" s="9">
        <f t="shared" si="9"/>
        <v>19.84</v>
      </c>
      <c r="L134" s="10">
        <f t="shared" si="10"/>
        <v>2.9897476691444314E-2</v>
      </c>
      <c r="M134" s="11">
        <f t="shared" si="11"/>
        <v>12.2</v>
      </c>
      <c r="N134">
        <f>F134/I134</f>
        <v>250.077375289255</v>
      </c>
      <c r="O134" s="15"/>
    </row>
    <row r="135" spans="1:15" x14ac:dyDescent="0.25">
      <c r="A135" t="s">
        <v>34</v>
      </c>
      <c r="B135" s="13">
        <v>722</v>
      </c>
      <c r="C135" t="s">
        <v>37</v>
      </c>
      <c r="D135" t="s">
        <v>49</v>
      </c>
      <c r="E135" s="13" t="s">
        <v>15</v>
      </c>
      <c r="F135" s="9">
        <v>320159.16886443662</v>
      </c>
      <c r="G135" s="14">
        <v>7936.0602285308105</v>
      </c>
      <c r="H135" s="15">
        <v>15921.027614706369</v>
      </c>
      <c r="I135" s="16">
        <v>1168.9600000000005</v>
      </c>
      <c r="J135" s="8">
        <f t="shared" si="8"/>
        <v>312223</v>
      </c>
      <c r="K135" s="9">
        <f t="shared" si="9"/>
        <v>19.61</v>
      </c>
      <c r="L135" s="10">
        <f t="shared" si="10"/>
        <v>2.4787858666297128E-2</v>
      </c>
      <c r="M135" s="11">
        <f t="shared" si="11"/>
        <v>13.6</v>
      </c>
      <c r="N135">
        <f>F135/I135</f>
        <v>273.88376750653271</v>
      </c>
      <c r="O135" s="15"/>
    </row>
    <row r="136" spans="1:15" x14ac:dyDescent="0.25">
      <c r="A136" t="s">
        <v>34</v>
      </c>
      <c r="B136" s="13">
        <v>723</v>
      </c>
      <c r="C136" t="s">
        <v>37</v>
      </c>
      <c r="D136" t="s">
        <v>49</v>
      </c>
      <c r="E136" s="13" t="s">
        <v>15</v>
      </c>
      <c r="F136" s="9">
        <v>112742.57546886661</v>
      </c>
      <c r="G136" s="14">
        <v>2928.6213185181805</v>
      </c>
      <c r="H136" s="15">
        <v>7804.4046887804607</v>
      </c>
      <c r="I136" s="16">
        <v>440.96000000000026</v>
      </c>
      <c r="J136" s="8">
        <f t="shared" si="8"/>
        <v>109814</v>
      </c>
      <c r="K136" s="9">
        <f t="shared" si="9"/>
        <v>14.07</v>
      </c>
      <c r="L136" s="10">
        <f t="shared" si="10"/>
        <v>2.5976178975323366E-2</v>
      </c>
      <c r="M136" s="11">
        <f t="shared" si="11"/>
        <v>17.7</v>
      </c>
      <c r="N136">
        <f>F136/I136</f>
        <v>255.67528907126845</v>
      </c>
      <c r="O136" s="15"/>
    </row>
    <row r="137" spans="1:15" x14ac:dyDescent="0.25">
      <c r="A137" t="s">
        <v>34</v>
      </c>
      <c r="B137" s="13">
        <v>724</v>
      </c>
      <c r="C137" t="s">
        <v>37</v>
      </c>
      <c r="D137" t="s">
        <v>49</v>
      </c>
      <c r="E137" s="13" t="s">
        <v>15</v>
      </c>
      <c r="F137" s="9">
        <v>347392.59503343701</v>
      </c>
      <c r="G137" s="14">
        <v>14647.005204029885</v>
      </c>
      <c r="H137" s="15">
        <v>29585.043259206424</v>
      </c>
      <c r="I137" s="16">
        <v>1168.440000000001</v>
      </c>
      <c r="J137" s="8">
        <f t="shared" si="8"/>
        <v>332746</v>
      </c>
      <c r="K137" s="9">
        <f t="shared" si="9"/>
        <v>11.25</v>
      </c>
      <c r="L137" s="10">
        <f t="shared" si="10"/>
        <v>4.2162686866195551E-2</v>
      </c>
      <c r="M137" s="11">
        <f t="shared" si="11"/>
        <v>25.3</v>
      </c>
      <c r="N137">
        <f>F137/I137</f>
        <v>297.31316544575395</v>
      </c>
      <c r="O137" s="15"/>
    </row>
    <row r="138" spans="1:15" x14ac:dyDescent="0.25">
      <c r="A138" t="s">
        <v>34</v>
      </c>
      <c r="B138" s="13">
        <v>515</v>
      </c>
      <c r="C138" t="s">
        <v>37</v>
      </c>
      <c r="D138" t="s">
        <v>49</v>
      </c>
      <c r="E138" s="13" t="s">
        <v>16</v>
      </c>
      <c r="F138" s="9">
        <v>488124.92958588735</v>
      </c>
      <c r="G138" s="14">
        <v>31182.809678018195</v>
      </c>
      <c r="H138" s="15">
        <v>33077.262059870307</v>
      </c>
      <c r="I138" s="16">
        <v>1614.7900000000011</v>
      </c>
      <c r="J138" s="8">
        <f t="shared" si="8"/>
        <v>456942</v>
      </c>
      <c r="K138" s="9">
        <f t="shared" si="9"/>
        <v>13.81</v>
      </c>
      <c r="L138" s="10">
        <f t="shared" si="10"/>
        <v>6.3882845943707259E-2</v>
      </c>
      <c r="M138" s="11">
        <f t="shared" si="11"/>
        <v>20.5</v>
      </c>
      <c r="N138">
        <f>F138/I138</f>
        <v>302.2838447017179</v>
      </c>
    </row>
    <row r="139" spans="1:15" x14ac:dyDescent="0.25">
      <c r="A139" t="s">
        <v>34</v>
      </c>
      <c r="B139" s="13">
        <v>612</v>
      </c>
      <c r="C139" t="s">
        <v>37</v>
      </c>
      <c r="D139" t="s">
        <v>49</v>
      </c>
      <c r="E139" s="13" t="s">
        <v>16</v>
      </c>
      <c r="F139" s="9">
        <v>373889.63951581612</v>
      </c>
      <c r="G139" s="14">
        <v>12632.920156868309</v>
      </c>
      <c r="H139" s="15">
        <v>15608.809377560921</v>
      </c>
      <c r="I139" s="16">
        <v>1297.8800000000001</v>
      </c>
      <c r="J139" s="8">
        <f t="shared" si="8"/>
        <v>361257</v>
      </c>
      <c r="K139" s="9">
        <f t="shared" si="9"/>
        <v>23.14</v>
      </c>
      <c r="L139" s="10">
        <f t="shared" si="10"/>
        <v>3.3787831546302896E-2</v>
      </c>
      <c r="M139" s="11">
        <f t="shared" si="11"/>
        <v>12</v>
      </c>
      <c r="N139">
        <f>F139/I139</f>
        <v>288.07720245000775</v>
      </c>
    </row>
    <row r="140" spans="1:15" x14ac:dyDescent="0.25">
      <c r="A140" t="s">
        <v>34</v>
      </c>
      <c r="B140" s="13">
        <v>645</v>
      </c>
      <c r="C140" t="s">
        <v>37</v>
      </c>
      <c r="D140" t="s">
        <v>49</v>
      </c>
      <c r="E140" s="13" t="s">
        <v>16</v>
      </c>
      <c r="F140" s="9">
        <v>225599.41706151929</v>
      </c>
      <c r="G140" s="14">
        <v>7737.8704174186787</v>
      </c>
      <c r="H140" s="15">
        <v>7269.3236022247956</v>
      </c>
      <c r="I140" s="16">
        <v>1016.3399999999992</v>
      </c>
      <c r="J140" s="8">
        <f t="shared" si="8"/>
        <v>217862</v>
      </c>
      <c r="K140" s="9">
        <f t="shared" si="9"/>
        <v>29.97</v>
      </c>
      <c r="L140" s="10">
        <f t="shared" si="10"/>
        <v>3.4299159626412591E-2</v>
      </c>
      <c r="M140" s="11">
        <f t="shared" si="11"/>
        <v>7.2</v>
      </c>
      <c r="N140">
        <f>F140/I140</f>
        <v>221.97238823771519</v>
      </c>
    </row>
    <row r="141" spans="1:15" x14ac:dyDescent="0.25">
      <c r="A141" t="s">
        <v>34</v>
      </c>
      <c r="B141" s="13">
        <v>721</v>
      </c>
      <c r="C141" t="s">
        <v>37</v>
      </c>
      <c r="D141" t="s">
        <v>49</v>
      </c>
      <c r="E141" s="13" t="s">
        <v>16</v>
      </c>
      <c r="F141" s="9">
        <v>242186.14249045745</v>
      </c>
      <c r="G141" s="14">
        <v>5532.3479541572842</v>
      </c>
      <c r="H141" s="15">
        <v>11553.126014237239</v>
      </c>
      <c r="I141" s="16">
        <v>940.5</v>
      </c>
      <c r="J141" s="8">
        <f t="shared" si="8"/>
        <v>236654</v>
      </c>
      <c r="K141" s="9">
        <f t="shared" si="9"/>
        <v>20.48</v>
      </c>
      <c r="L141" s="10">
        <f t="shared" si="10"/>
        <v>2.2843371207232753E-2</v>
      </c>
      <c r="M141" s="11">
        <f t="shared" si="11"/>
        <v>12.3</v>
      </c>
      <c r="N141">
        <f>F141/I141</f>
        <v>257.50786017060869</v>
      </c>
    </row>
    <row r="142" spans="1:15" x14ac:dyDescent="0.25">
      <c r="A142" t="s">
        <v>34</v>
      </c>
      <c r="B142" s="13">
        <v>722</v>
      </c>
      <c r="C142" t="s">
        <v>37</v>
      </c>
      <c r="D142" t="s">
        <v>49</v>
      </c>
      <c r="E142" s="13" t="s">
        <v>16</v>
      </c>
      <c r="F142" s="9">
        <v>314828.56350241957</v>
      </c>
      <c r="G142" s="14">
        <v>5827.5820012085796</v>
      </c>
      <c r="H142" s="15">
        <v>12388.861699525556</v>
      </c>
      <c r="I142" s="16">
        <v>1198.1399999999994</v>
      </c>
      <c r="J142" s="8">
        <f t="shared" si="8"/>
        <v>309001</v>
      </c>
      <c r="K142" s="9">
        <f t="shared" si="9"/>
        <v>24.94</v>
      </c>
      <c r="L142" s="10">
        <f t="shared" si="10"/>
        <v>1.8510334438456354E-2</v>
      </c>
      <c r="M142" s="11">
        <f t="shared" si="11"/>
        <v>10.3</v>
      </c>
      <c r="N142">
        <f>F142/I142</f>
        <v>262.76442110472874</v>
      </c>
    </row>
    <row r="143" spans="1:15" x14ac:dyDescent="0.25">
      <c r="A143" t="s">
        <v>34</v>
      </c>
      <c r="B143" s="13">
        <v>723</v>
      </c>
      <c r="C143" t="s">
        <v>37</v>
      </c>
      <c r="D143" t="s">
        <v>49</v>
      </c>
      <c r="E143" s="13" t="s">
        <v>16</v>
      </c>
      <c r="F143" s="9">
        <v>111043.09359604925</v>
      </c>
      <c r="G143" s="14">
        <v>2642.7283444746886</v>
      </c>
      <c r="H143" s="15">
        <v>5637.7993461650876</v>
      </c>
      <c r="I143" s="16">
        <v>436.62000000000052</v>
      </c>
      <c r="J143" s="8">
        <f t="shared" si="8"/>
        <v>108400</v>
      </c>
      <c r="K143" s="9">
        <f t="shared" si="9"/>
        <v>19.23</v>
      </c>
      <c r="L143" s="10">
        <f t="shared" si="10"/>
        <v>2.3799123915696753E-2</v>
      </c>
      <c r="M143" s="11">
        <f t="shared" si="11"/>
        <v>12.9</v>
      </c>
      <c r="N143">
        <f>F143/I143</f>
        <v>254.32434060750566</v>
      </c>
    </row>
    <row r="144" spans="1:15" x14ac:dyDescent="0.25">
      <c r="A144" t="s">
        <v>34</v>
      </c>
      <c r="B144" s="13">
        <v>724</v>
      </c>
      <c r="C144" t="s">
        <v>37</v>
      </c>
      <c r="D144" t="s">
        <v>49</v>
      </c>
      <c r="E144" s="13" t="s">
        <v>16</v>
      </c>
      <c r="F144" s="9">
        <v>352093.82984063291</v>
      </c>
      <c r="G144" s="14">
        <v>12581.520863656762</v>
      </c>
      <c r="H144" s="15">
        <v>28052.335549583324</v>
      </c>
      <c r="I144" s="16">
        <v>1187.3100000000002</v>
      </c>
      <c r="J144" s="8">
        <f t="shared" si="8"/>
        <v>339512</v>
      </c>
      <c r="K144" s="9">
        <f t="shared" si="9"/>
        <v>12.1</v>
      </c>
      <c r="L144" s="10">
        <f t="shared" si="10"/>
        <v>3.5733431822282981E-2</v>
      </c>
      <c r="M144" s="11">
        <f t="shared" si="11"/>
        <v>23.6</v>
      </c>
      <c r="N144">
        <f>F144/I144</f>
        <v>296.54751483659101</v>
      </c>
    </row>
    <row r="145" spans="1:15" x14ac:dyDescent="0.25">
      <c r="A145" t="s">
        <v>34</v>
      </c>
      <c r="B145" s="13">
        <v>5</v>
      </c>
      <c r="C145" t="s">
        <v>36</v>
      </c>
      <c r="D145" t="s">
        <v>49</v>
      </c>
      <c r="E145" s="13" t="s">
        <v>7</v>
      </c>
      <c r="F145" s="9">
        <v>14053688.506833633</v>
      </c>
      <c r="G145" s="14">
        <v>1754152.4588568995</v>
      </c>
      <c r="H145" s="15">
        <v>1556338.5303395751</v>
      </c>
      <c r="I145" s="16">
        <v>60236.690000000031</v>
      </c>
      <c r="J145" s="8">
        <f t="shared" si="8"/>
        <v>12299536</v>
      </c>
      <c r="K145" s="9">
        <f t="shared" si="9"/>
        <v>7.9</v>
      </c>
      <c r="L145" s="10">
        <f t="shared" si="10"/>
        <v>0.1248179407138517</v>
      </c>
      <c r="M145" s="11">
        <f t="shared" si="11"/>
        <v>25.8</v>
      </c>
      <c r="N145">
        <f>F145/I145</f>
        <v>233.30778146730216</v>
      </c>
    </row>
    <row r="146" spans="1:15" x14ac:dyDescent="0.25">
      <c r="A146" t="s">
        <v>34</v>
      </c>
      <c r="B146" s="13">
        <v>23</v>
      </c>
      <c r="C146" t="s">
        <v>36</v>
      </c>
      <c r="D146" t="s">
        <v>49</v>
      </c>
      <c r="E146" s="13" t="s">
        <v>7</v>
      </c>
      <c r="F146" s="9">
        <v>3013765.3873601095</v>
      </c>
      <c r="G146" s="14">
        <v>201883.01251161922</v>
      </c>
      <c r="H146" s="15">
        <v>151170.3937306045</v>
      </c>
      <c r="I146" s="16">
        <v>12554.120000000015</v>
      </c>
      <c r="J146" s="8">
        <f t="shared" si="8"/>
        <v>2811882</v>
      </c>
      <c r="K146" s="9">
        <f t="shared" si="9"/>
        <v>18.600000000000001</v>
      </c>
      <c r="L146" s="10">
        <f t="shared" si="10"/>
        <v>6.6986970305760091E-2</v>
      </c>
      <c r="M146" s="11">
        <f t="shared" si="11"/>
        <v>12</v>
      </c>
      <c r="N146">
        <f>F146/I146</f>
        <v>240.06185916337472</v>
      </c>
    </row>
    <row r="147" spans="1:15" x14ac:dyDescent="0.25">
      <c r="A147" t="s">
        <v>34</v>
      </c>
      <c r="B147" s="13">
        <v>32</v>
      </c>
      <c r="C147" t="s">
        <v>36</v>
      </c>
      <c r="D147" t="s">
        <v>49</v>
      </c>
      <c r="E147" s="13" t="s">
        <v>7</v>
      </c>
      <c r="F147" s="9">
        <v>2574749.498530258</v>
      </c>
      <c r="G147" s="14">
        <v>297728.67494442582</v>
      </c>
      <c r="H147" s="15">
        <v>216180.11764747847</v>
      </c>
      <c r="I147" s="16">
        <v>9400.7500000000164</v>
      </c>
      <c r="J147" s="8">
        <f t="shared" si="8"/>
        <v>2277021</v>
      </c>
      <c r="K147" s="9">
        <f t="shared" si="9"/>
        <v>10.53</v>
      </c>
      <c r="L147" s="10">
        <f t="shared" si="10"/>
        <v>0.11563403551078581</v>
      </c>
      <c r="M147" s="11">
        <f t="shared" si="11"/>
        <v>23</v>
      </c>
      <c r="N147">
        <f>F147/I147</f>
        <v>273.88766838074127</v>
      </c>
    </row>
    <row r="148" spans="1:15" x14ac:dyDescent="0.25">
      <c r="A148" t="s">
        <v>34</v>
      </c>
      <c r="B148" s="13">
        <v>46</v>
      </c>
      <c r="C148" t="s">
        <v>36</v>
      </c>
      <c r="D148" t="s">
        <v>49</v>
      </c>
      <c r="E148" s="13" t="s">
        <v>7</v>
      </c>
      <c r="F148" s="9">
        <v>3034405.839561455</v>
      </c>
      <c r="G148" s="14">
        <v>223812.84220590975</v>
      </c>
      <c r="H148" s="15">
        <v>122495.72418644172</v>
      </c>
      <c r="I148" s="16">
        <v>12042.180000000002</v>
      </c>
      <c r="J148" s="8">
        <f t="shared" si="8"/>
        <v>2810593</v>
      </c>
      <c r="K148" s="9">
        <f t="shared" si="9"/>
        <v>22.94</v>
      </c>
      <c r="L148" s="10">
        <f t="shared" si="10"/>
        <v>7.3758374469202886E-2</v>
      </c>
      <c r="M148" s="11">
        <f t="shared" si="11"/>
        <v>10.199999999999999</v>
      </c>
      <c r="N148">
        <f>F148/I148</f>
        <v>251.98143854031863</v>
      </c>
    </row>
    <row r="149" spans="1:15" x14ac:dyDescent="0.25">
      <c r="A149" t="s">
        <v>34</v>
      </c>
      <c r="B149" s="13">
        <v>65</v>
      </c>
      <c r="C149" t="s">
        <v>36</v>
      </c>
      <c r="D149" t="s">
        <v>49</v>
      </c>
      <c r="E149" s="13" t="s">
        <v>7</v>
      </c>
      <c r="F149" s="9">
        <v>2558779.4474201775</v>
      </c>
      <c r="G149" s="14">
        <v>183659.49914569524</v>
      </c>
      <c r="H149" s="15">
        <v>125527.49993030523</v>
      </c>
      <c r="I149" s="16">
        <v>9315.9999999999618</v>
      </c>
      <c r="J149" s="8">
        <f t="shared" si="8"/>
        <v>2375120</v>
      </c>
      <c r="K149" s="9">
        <f t="shared" si="9"/>
        <v>18.920000000000002</v>
      </c>
      <c r="L149" s="10">
        <f t="shared" si="10"/>
        <v>7.177621319839235E-2</v>
      </c>
      <c r="M149" s="11">
        <f t="shared" si="11"/>
        <v>13.5</v>
      </c>
      <c r="N149">
        <f>F149/I149</f>
        <v>274.66503299916144</v>
      </c>
    </row>
    <row r="150" spans="1:15" x14ac:dyDescent="0.25">
      <c r="A150" t="s">
        <v>34</v>
      </c>
      <c r="B150" s="13">
        <v>5</v>
      </c>
      <c r="C150" t="s">
        <v>36</v>
      </c>
      <c r="D150" t="s">
        <v>49</v>
      </c>
      <c r="E150" s="13" t="s">
        <v>15</v>
      </c>
      <c r="F150" s="9">
        <v>2362207.2532962887</v>
      </c>
      <c r="G150" s="14">
        <v>174336.34415606584</v>
      </c>
      <c r="H150" s="15">
        <v>222655.7551586433</v>
      </c>
      <c r="I150" s="16">
        <v>9951.5000000000036</v>
      </c>
      <c r="J150" s="8">
        <f t="shared" si="8"/>
        <v>2187871</v>
      </c>
      <c r="K150" s="9">
        <f t="shared" si="9"/>
        <v>9.83</v>
      </c>
      <c r="L150" s="10">
        <f t="shared" si="10"/>
        <v>7.380230668278244E-2</v>
      </c>
      <c r="M150" s="11">
        <f t="shared" si="11"/>
        <v>22.4</v>
      </c>
      <c r="N150">
        <f>F150/I150</f>
        <v>237.37197942986361</v>
      </c>
      <c r="O150" s="15"/>
    </row>
    <row r="151" spans="1:15" x14ac:dyDescent="0.25">
      <c r="A151" t="s">
        <v>34</v>
      </c>
      <c r="B151" s="13">
        <v>23</v>
      </c>
      <c r="C151" t="s">
        <v>36</v>
      </c>
      <c r="D151" t="s">
        <v>49</v>
      </c>
      <c r="E151" s="13" t="s">
        <v>15</v>
      </c>
      <c r="F151" s="9">
        <v>524358.17331403273</v>
      </c>
      <c r="G151" s="14">
        <v>25615.405409801584</v>
      </c>
      <c r="H151" s="15">
        <v>23079.971032081765</v>
      </c>
      <c r="I151" s="16">
        <v>2139.3199999999988</v>
      </c>
      <c r="J151" s="8">
        <f t="shared" si="8"/>
        <v>498743</v>
      </c>
      <c r="K151" s="9">
        <f t="shared" si="9"/>
        <v>21.61</v>
      </c>
      <c r="L151" s="10">
        <f t="shared" si="10"/>
        <v>4.8850970030481021E-2</v>
      </c>
      <c r="M151" s="11">
        <f t="shared" si="11"/>
        <v>10.8</v>
      </c>
      <c r="N151">
        <f>F151/I151</f>
        <v>245.10506764487454</v>
      </c>
      <c r="O151" s="15"/>
    </row>
    <row r="152" spans="1:15" x14ac:dyDescent="0.25">
      <c r="A152" t="s">
        <v>34</v>
      </c>
      <c r="B152" s="13">
        <v>32</v>
      </c>
      <c r="C152" t="s">
        <v>36</v>
      </c>
      <c r="D152" t="s">
        <v>49</v>
      </c>
      <c r="E152" s="13" t="s">
        <v>15</v>
      </c>
      <c r="F152" s="9">
        <v>417882.09717343107</v>
      </c>
      <c r="G152" s="14">
        <v>20591.405198396147</v>
      </c>
      <c r="H152" s="15">
        <v>28190.047970681146</v>
      </c>
      <c r="I152" s="16">
        <v>1669.1999999999987</v>
      </c>
      <c r="J152" s="8">
        <f t="shared" si="8"/>
        <v>397291</v>
      </c>
      <c r="K152" s="9">
        <f t="shared" si="9"/>
        <v>14.09</v>
      </c>
      <c r="L152" s="10">
        <f t="shared" si="10"/>
        <v>4.9275633815559751E-2</v>
      </c>
      <c r="M152" s="11">
        <f t="shared" si="11"/>
        <v>16.899999999999999</v>
      </c>
      <c r="N152">
        <f>F152/I152</f>
        <v>250.3487282371384</v>
      </c>
      <c r="O152" s="15"/>
    </row>
    <row r="153" spans="1:15" x14ac:dyDescent="0.25">
      <c r="A153" t="s">
        <v>34</v>
      </c>
      <c r="B153" s="13">
        <v>65</v>
      </c>
      <c r="C153" t="s">
        <v>36</v>
      </c>
      <c r="D153" t="s">
        <v>49</v>
      </c>
      <c r="E153" s="13" t="s">
        <v>15</v>
      </c>
      <c r="F153" s="9">
        <v>504885.77482249867</v>
      </c>
      <c r="G153" s="14">
        <v>18351.777682266533</v>
      </c>
      <c r="H153" s="15">
        <v>16768.326938407481</v>
      </c>
      <c r="I153" s="16">
        <v>1858.1500000000015</v>
      </c>
      <c r="J153" s="8">
        <f t="shared" si="8"/>
        <v>486534</v>
      </c>
      <c r="K153" s="9">
        <f t="shared" si="9"/>
        <v>29.02</v>
      </c>
      <c r="L153" s="10">
        <f t="shared" si="10"/>
        <v>3.6348375409702163E-2</v>
      </c>
      <c r="M153" s="11">
        <f t="shared" si="11"/>
        <v>9</v>
      </c>
      <c r="N153">
        <f>F153/I153</f>
        <v>271.71421834754904</v>
      </c>
      <c r="O153" s="15"/>
    </row>
    <row r="154" spans="1:15" x14ac:dyDescent="0.25">
      <c r="A154" t="s">
        <v>34</v>
      </c>
      <c r="B154" s="13">
        <v>5</v>
      </c>
      <c r="C154" t="s">
        <v>36</v>
      </c>
      <c r="D154" t="s">
        <v>49</v>
      </c>
      <c r="E154" s="13" t="s">
        <v>16</v>
      </c>
      <c r="F154" s="9">
        <v>2112802.3937793472</v>
      </c>
      <c r="G154" s="14">
        <v>149672.29350405058</v>
      </c>
      <c r="H154" s="15">
        <v>192257.05225111844</v>
      </c>
      <c r="I154" s="16">
        <v>8752.4999999999982</v>
      </c>
      <c r="J154" s="8">
        <f t="shared" si="8"/>
        <v>1963130</v>
      </c>
      <c r="K154" s="9">
        <f t="shared" si="9"/>
        <v>10.210000000000001</v>
      </c>
      <c r="L154" s="10">
        <f t="shared" si="10"/>
        <v>7.0840649340764505E-2</v>
      </c>
      <c r="M154" s="11">
        <f t="shared" si="11"/>
        <v>22</v>
      </c>
      <c r="N154">
        <f>F154/I154</f>
        <v>241.39416095736618</v>
      </c>
    </row>
    <row r="155" spans="1:15" x14ac:dyDescent="0.25">
      <c r="A155" t="s">
        <v>34</v>
      </c>
      <c r="B155" s="13">
        <v>23</v>
      </c>
      <c r="C155" t="s">
        <v>36</v>
      </c>
      <c r="D155" t="s">
        <v>49</v>
      </c>
      <c r="E155" s="13" t="s">
        <v>16</v>
      </c>
      <c r="F155" s="9">
        <v>536535.67736322735</v>
      </c>
      <c r="G155" s="14">
        <v>22560.328730648544</v>
      </c>
      <c r="H155" s="15">
        <v>20544.380500112682</v>
      </c>
      <c r="I155" s="16">
        <v>2107.860000000001</v>
      </c>
      <c r="J155" s="8">
        <f t="shared" si="8"/>
        <v>513975</v>
      </c>
      <c r="K155" s="9">
        <f t="shared" si="9"/>
        <v>25.02</v>
      </c>
      <c r="L155" s="10">
        <f t="shared" si="10"/>
        <v>4.2048142709763377E-2</v>
      </c>
      <c r="M155" s="11">
        <f t="shared" si="11"/>
        <v>9.6999999999999993</v>
      </c>
      <c r="N155">
        <f>F155/I155</f>
        <v>254.54047107646005</v>
      </c>
    </row>
    <row r="156" spans="1:15" x14ac:dyDescent="0.25">
      <c r="A156" t="s">
        <v>34</v>
      </c>
      <c r="B156" s="13">
        <v>32</v>
      </c>
      <c r="C156" t="s">
        <v>36</v>
      </c>
      <c r="D156" t="s">
        <v>49</v>
      </c>
      <c r="E156" s="13" t="s">
        <v>16</v>
      </c>
      <c r="F156" s="9">
        <v>423047.65146775724</v>
      </c>
      <c r="G156" s="14">
        <v>18083.475243035737</v>
      </c>
      <c r="H156" s="15">
        <v>22698.370964459551</v>
      </c>
      <c r="I156" s="16">
        <v>1622.7900000000013</v>
      </c>
      <c r="J156" s="8">
        <f t="shared" si="8"/>
        <v>404964</v>
      </c>
      <c r="K156" s="9">
        <f t="shared" si="9"/>
        <v>17.84</v>
      </c>
      <c r="L156" s="10">
        <f t="shared" si="10"/>
        <v>4.2745717132089966E-2</v>
      </c>
      <c r="M156" s="11">
        <f t="shared" si="11"/>
        <v>14</v>
      </c>
      <c r="N156">
        <f>F156/I156</f>
        <v>260.69155680510534</v>
      </c>
    </row>
    <row r="157" spans="1:15" x14ac:dyDescent="0.25">
      <c r="A157" t="s">
        <v>34</v>
      </c>
      <c r="B157" s="13">
        <v>65</v>
      </c>
      <c r="C157" t="s">
        <v>36</v>
      </c>
      <c r="D157" t="s">
        <v>49</v>
      </c>
      <c r="E157" s="13" t="s">
        <v>16</v>
      </c>
      <c r="F157" s="9">
        <v>586406.49227783468</v>
      </c>
      <c r="G157" s="14">
        <v>16905.751510656271</v>
      </c>
      <c r="H157" s="15">
        <v>17378.046054718452</v>
      </c>
      <c r="I157" s="16">
        <v>2001.4600000000016</v>
      </c>
      <c r="J157" s="8">
        <f t="shared" si="8"/>
        <v>569501</v>
      </c>
      <c r="K157" s="9">
        <f t="shared" si="9"/>
        <v>32.770000000000003</v>
      </c>
      <c r="L157" s="10">
        <f t="shared" si="10"/>
        <v>2.8829407131881587E-2</v>
      </c>
      <c r="M157" s="11">
        <f t="shared" si="11"/>
        <v>8.6999999999999993</v>
      </c>
      <c r="N157">
        <f>F157/I157</f>
        <v>292.9893639032677</v>
      </c>
    </row>
    <row r="158" spans="1:15" x14ac:dyDescent="0.25">
      <c r="A158" t="s">
        <v>40</v>
      </c>
      <c r="B158" t="s">
        <v>31</v>
      </c>
      <c r="C158" t="s">
        <v>32</v>
      </c>
      <c r="D158" t="s">
        <v>50</v>
      </c>
      <c r="E158" t="s">
        <v>7</v>
      </c>
      <c r="F158" s="8">
        <v>73022160.760926947</v>
      </c>
      <c r="G158" s="8">
        <v>5701932.4320634138</v>
      </c>
      <c r="H158" s="12">
        <v>1671179</v>
      </c>
      <c r="I158" s="12">
        <v>1051306</v>
      </c>
      <c r="J158" s="8">
        <f t="shared" si="8"/>
        <v>67320228</v>
      </c>
      <c r="K158" s="9">
        <f t="shared" si="9"/>
        <v>40.28</v>
      </c>
      <c r="L158" s="10">
        <f t="shared" si="10"/>
        <v>7.80849590404675E-2</v>
      </c>
      <c r="M158" s="11">
        <f t="shared" si="11"/>
        <v>1.6</v>
      </c>
      <c r="N158">
        <f>F158/I158</f>
        <v>69.458521839433004</v>
      </c>
    </row>
    <row r="159" spans="1:15" x14ac:dyDescent="0.25">
      <c r="A159" t="s">
        <v>40</v>
      </c>
      <c r="B159" t="s">
        <v>31</v>
      </c>
      <c r="C159" t="s">
        <v>32</v>
      </c>
      <c r="D159" t="s">
        <v>50</v>
      </c>
      <c r="E159" t="s">
        <v>15</v>
      </c>
      <c r="F159" s="8">
        <v>6753395.4617149383</v>
      </c>
      <c r="G159" s="8">
        <v>491611.62556106399</v>
      </c>
      <c r="H159" s="12">
        <v>139849</v>
      </c>
      <c r="I159" s="12">
        <v>96120</v>
      </c>
      <c r="J159" s="8">
        <f t="shared" si="8"/>
        <v>6261784</v>
      </c>
      <c r="K159" s="9">
        <f t="shared" si="9"/>
        <v>44.78</v>
      </c>
      <c r="L159" s="10">
        <f t="shared" si="10"/>
        <v>7.2794733900600803E-2</v>
      </c>
      <c r="M159" s="11">
        <f t="shared" si="11"/>
        <v>1.5</v>
      </c>
      <c r="N159">
        <f>F159/I159</f>
        <v>70.260044337442139</v>
      </c>
    </row>
    <row r="160" spans="1:15" x14ac:dyDescent="0.25">
      <c r="A160" t="s">
        <v>40</v>
      </c>
      <c r="B160" t="s">
        <v>31</v>
      </c>
      <c r="C160" t="s">
        <v>32</v>
      </c>
      <c r="D160" t="s">
        <v>50</v>
      </c>
      <c r="E160" t="s">
        <v>16</v>
      </c>
      <c r="F160" s="8">
        <v>6441685.7773581129</v>
      </c>
      <c r="G160" s="8">
        <v>468012.94237552228</v>
      </c>
      <c r="H160" s="12">
        <v>131507</v>
      </c>
      <c r="I160" s="12">
        <v>91681</v>
      </c>
      <c r="J160" s="8">
        <f t="shared" si="8"/>
        <v>5973673</v>
      </c>
      <c r="K160" s="9">
        <f t="shared" si="9"/>
        <v>45.42</v>
      </c>
      <c r="L160" s="10">
        <f t="shared" si="10"/>
        <v>7.2653798796045194E-2</v>
      </c>
      <c r="M160" s="11">
        <f t="shared" si="11"/>
        <v>1.4</v>
      </c>
      <c r="N160">
        <f>F160/I160</f>
        <v>70.261949339100937</v>
      </c>
    </row>
    <row r="161" spans="1:14" x14ac:dyDescent="0.25">
      <c r="A161" t="s">
        <v>40</v>
      </c>
      <c r="B161">
        <v>903</v>
      </c>
      <c r="C161" t="s">
        <v>41</v>
      </c>
      <c r="D161" t="s">
        <v>49</v>
      </c>
      <c r="E161" t="s">
        <v>7</v>
      </c>
      <c r="F161" s="8">
        <v>128630.20717011705</v>
      </c>
      <c r="G161" s="8">
        <v>0</v>
      </c>
      <c r="H161" s="12">
        <v>7313</v>
      </c>
      <c r="I161" s="12">
        <v>480.7</v>
      </c>
      <c r="J161" s="8">
        <f t="shared" si="8"/>
        <v>128630</v>
      </c>
      <c r="K161" s="9">
        <f t="shared" si="9"/>
        <v>17.59</v>
      </c>
      <c r="L161" s="10">
        <f t="shared" si="10"/>
        <v>0</v>
      </c>
      <c r="M161" s="11">
        <f t="shared" si="11"/>
        <v>15.2</v>
      </c>
      <c r="N161">
        <f>F161/I161</f>
        <v>267.58936378222813</v>
      </c>
    </row>
    <row r="162" spans="1:14" x14ac:dyDescent="0.25">
      <c r="A162" t="s">
        <v>40</v>
      </c>
      <c r="B162">
        <v>903</v>
      </c>
      <c r="C162" t="s">
        <v>41</v>
      </c>
      <c r="D162" t="s">
        <v>49</v>
      </c>
      <c r="E162" t="s">
        <v>15</v>
      </c>
      <c r="F162" s="8">
        <v>38051.320709900814</v>
      </c>
      <c r="G162" s="8">
        <v>0</v>
      </c>
      <c r="H162" s="12">
        <v>1871</v>
      </c>
      <c r="I162" s="12">
        <v>139.80000000000001</v>
      </c>
      <c r="J162" s="8">
        <f t="shared" si="8"/>
        <v>38051</v>
      </c>
      <c r="K162" s="9">
        <f t="shared" si="9"/>
        <v>20.34</v>
      </c>
      <c r="L162" s="10">
        <f t="shared" si="10"/>
        <v>0</v>
      </c>
      <c r="M162" s="11">
        <f t="shared" si="11"/>
        <v>13.4</v>
      </c>
      <c r="N162">
        <f>F162/I162</f>
        <v>272.18398218813172</v>
      </c>
    </row>
    <row r="163" spans="1:14" x14ac:dyDescent="0.25">
      <c r="A163" t="s">
        <v>40</v>
      </c>
      <c r="B163">
        <v>903</v>
      </c>
      <c r="C163" t="s">
        <v>41</v>
      </c>
      <c r="D163" t="s">
        <v>49</v>
      </c>
      <c r="E163" t="s">
        <v>26</v>
      </c>
      <c r="F163" s="8">
        <v>25367.550473267209</v>
      </c>
      <c r="G163" s="8">
        <v>0</v>
      </c>
      <c r="H163" s="12">
        <v>1262</v>
      </c>
      <c r="I163" s="12">
        <v>93.2</v>
      </c>
      <c r="J163" s="8">
        <f t="shared" si="8"/>
        <v>25368</v>
      </c>
      <c r="K163" s="9">
        <f t="shared" si="9"/>
        <v>20.100000000000001</v>
      </c>
      <c r="L163" s="10">
        <f t="shared" si="10"/>
        <v>0</v>
      </c>
      <c r="M163" s="11">
        <f t="shared" si="11"/>
        <v>13.5</v>
      </c>
      <c r="N163">
        <f>F163/I163</f>
        <v>272.18401795351082</v>
      </c>
    </row>
    <row r="164" spans="1:14" x14ac:dyDescent="0.25">
      <c r="A164" t="s">
        <v>40</v>
      </c>
      <c r="B164">
        <v>467</v>
      </c>
      <c r="C164" t="s">
        <v>13</v>
      </c>
      <c r="D164" t="s">
        <v>49</v>
      </c>
      <c r="E164" t="s">
        <v>7</v>
      </c>
      <c r="F164" s="8">
        <v>222250.42681137874</v>
      </c>
      <c r="G164" s="8">
        <v>3967.9798557801278</v>
      </c>
      <c r="H164" s="12">
        <v>1473</v>
      </c>
      <c r="I164" s="12">
        <v>755.30000000000007</v>
      </c>
      <c r="J164" s="8">
        <f t="shared" si="8"/>
        <v>218282</v>
      </c>
      <c r="K164" s="9">
        <f t="shared" si="9"/>
        <v>148.19</v>
      </c>
      <c r="L164" s="10">
        <f t="shared" si="10"/>
        <v>1.7853643354969591E-2</v>
      </c>
      <c r="M164" s="11">
        <f t="shared" si="11"/>
        <v>2</v>
      </c>
      <c r="N164">
        <f>F164/I164</f>
        <v>294.25450392079802</v>
      </c>
    </row>
    <row r="165" spans="1:14" x14ac:dyDescent="0.25">
      <c r="A165" t="s">
        <v>40</v>
      </c>
      <c r="B165">
        <v>852</v>
      </c>
      <c r="C165" t="s">
        <v>13</v>
      </c>
      <c r="D165" t="s">
        <v>49</v>
      </c>
      <c r="E165" t="s">
        <v>7</v>
      </c>
      <c r="F165" s="8">
        <v>59227.773731655951</v>
      </c>
      <c r="G165" s="8">
        <v>5872.1131649910976</v>
      </c>
      <c r="H165" s="12">
        <v>4008</v>
      </c>
      <c r="I165" s="12">
        <v>591.47</v>
      </c>
      <c r="J165" s="8">
        <f t="shared" si="8"/>
        <v>53356</v>
      </c>
      <c r="K165" s="9">
        <f t="shared" si="9"/>
        <v>13.31</v>
      </c>
      <c r="L165" s="10">
        <f t="shared" si="10"/>
        <v>9.9144586990487907E-2</v>
      </c>
      <c r="M165" s="11">
        <f t="shared" si="11"/>
        <v>6.8</v>
      </c>
      <c r="N165">
        <f>F165/I165</f>
        <v>100.13656437630978</v>
      </c>
    </row>
    <row r="166" spans="1:14" x14ac:dyDescent="0.25">
      <c r="A166" t="s">
        <v>40</v>
      </c>
      <c r="B166">
        <v>852</v>
      </c>
      <c r="C166" t="s">
        <v>13</v>
      </c>
      <c r="D166" t="s">
        <v>49</v>
      </c>
      <c r="E166" t="s">
        <v>15</v>
      </c>
      <c r="F166" s="8">
        <v>5331.6324189408779</v>
      </c>
      <c r="G166" s="8">
        <v>318.14674294855581</v>
      </c>
      <c r="H166" s="12">
        <v>204</v>
      </c>
      <c r="I166" s="12">
        <v>56.519999999999996</v>
      </c>
      <c r="J166" s="8">
        <f t="shared" si="8"/>
        <v>5013</v>
      </c>
      <c r="K166" s="9">
        <f t="shared" si="9"/>
        <v>24.57</v>
      </c>
      <c r="L166" s="10">
        <f t="shared" si="10"/>
        <v>5.9671544838373398E-2</v>
      </c>
      <c r="M166" s="11">
        <f t="shared" si="11"/>
        <v>3.6</v>
      </c>
      <c r="N166">
        <f>F166/I166</f>
        <v>94.33178377460861</v>
      </c>
    </row>
    <row r="167" spans="1:14" x14ac:dyDescent="0.25">
      <c r="A167" t="s">
        <v>40</v>
      </c>
      <c r="B167" t="s">
        <v>29</v>
      </c>
      <c r="C167" t="s">
        <v>30</v>
      </c>
      <c r="D167" t="s">
        <v>51</v>
      </c>
      <c r="E167" t="s">
        <v>25</v>
      </c>
      <c r="F167" s="8">
        <v>784761</v>
      </c>
      <c r="G167" s="8">
        <v>443396</v>
      </c>
      <c r="H167" s="12">
        <v>81073</v>
      </c>
      <c r="I167" s="12">
        <v>19328</v>
      </c>
      <c r="J167" s="8">
        <f t="shared" si="8"/>
        <v>341365</v>
      </c>
      <c r="K167" s="9">
        <f t="shared" si="9"/>
        <v>4.21</v>
      </c>
      <c r="L167" s="10">
        <f t="shared" si="10"/>
        <v>0.56500769023944875</v>
      </c>
      <c r="M167" s="11">
        <f t="shared" si="11"/>
        <v>4.2</v>
      </c>
      <c r="N167" s="9">
        <f>F167/I167</f>
        <v>40.602286837748345</v>
      </c>
    </row>
    <row r="168" spans="1:14" x14ac:dyDescent="0.25">
      <c r="A168" t="s">
        <v>40</v>
      </c>
      <c r="B168">
        <v>7</v>
      </c>
      <c r="C168" t="s">
        <v>35</v>
      </c>
      <c r="D168" t="s">
        <v>49</v>
      </c>
      <c r="E168" t="s">
        <v>7</v>
      </c>
      <c r="F168" s="8">
        <v>119682.40377980347</v>
      </c>
      <c r="G168" s="8">
        <v>9197.5306199910046</v>
      </c>
      <c r="H168" s="12">
        <v>9267</v>
      </c>
      <c r="I168" s="12">
        <v>1016.5</v>
      </c>
      <c r="J168" s="8">
        <f t="shared" si="8"/>
        <v>110485</v>
      </c>
      <c r="K168" s="9">
        <f t="shared" si="9"/>
        <v>11.92</v>
      </c>
      <c r="L168" s="10">
        <f t="shared" si="10"/>
        <v>7.6849481039109088E-2</v>
      </c>
      <c r="M168" s="11">
        <f t="shared" si="11"/>
        <v>9.1</v>
      </c>
      <c r="N168">
        <f>F168/I168</f>
        <v>117.73969875042151</v>
      </c>
    </row>
    <row r="169" spans="1:14" x14ac:dyDescent="0.25">
      <c r="A169" t="s">
        <v>40</v>
      </c>
      <c r="B169">
        <v>67</v>
      </c>
      <c r="C169" t="s">
        <v>35</v>
      </c>
      <c r="D169" t="s">
        <v>49</v>
      </c>
      <c r="E169" t="s">
        <v>7</v>
      </c>
      <c r="F169" s="8">
        <v>1206817.1796835926</v>
      </c>
      <c r="G169" s="8">
        <v>77492.722732403039</v>
      </c>
      <c r="H169" s="12">
        <v>73344</v>
      </c>
      <c r="I169" s="12">
        <v>11605.9</v>
      </c>
      <c r="J169" s="8">
        <f t="shared" si="8"/>
        <v>1129324</v>
      </c>
      <c r="K169" s="9">
        <f t="shared" si="9"/>
        <v>15.4</v>
      </c>
      <c r="L169" s="10">
        <f t="shared" si="10"/>
        <v>6.4212478937961712E-2</v>
      </c>
      <c r="M169" s="11">
        <f t="shared" si="11"/>
        <v>6.3</v>
      </c>
      <c r="N169">
        <f>F169/I169</f>
        <v>103.98307582208986</v>
      </c>
    </row>
    <row r="170" spans="1:14" x14ac:dyDescent="0.25">
      <c r="A170" t="s">
        <v>40</v>
      </c>
      <c r="B170">
        <v>70</v>
      </c>
      <c r="C170" t="s">
        <v>35</v>
      </c>
      <c r="D170" t="s">
        <v>49</v>
      </c>
      <c r="E170" t="s">
        <v>7</v>
      </c>
      <c r="F170" s="8">
        <v>28346.428450843687</v>
      </c>
      <c r="G170" s="8">
        <v>1047.2884356036282</v>
      </c>
      <c r="H170" s="12">
        <v>1574</v>
      </c>
      <c r="I170" s="12">
        <v>258.77999999999997</v>
      </c>
      <c r="J170" s="8">
        <f t="shared" si="8"/>
        <v>27299</v>
      </c>
      <c r="K170" s="9">
        <f t="shared" si="9"/>
        <v>17.34</v>
      </c>
      <c r="L170" s="10">
        <f t="shared" si="10"/>
        <v>3.6946045510451504E-2</v>
      </c>
      <c r="M170" s="11">
        <f t="shared" si="11"/>
        <v>6.1</v>
      </c>
      <c r="N170">
        <f>F170/I170</f>
        <v>109.53871416200514</v>
      </c>
    </row>
    <row r="171" spans="1:14" x14ac:dyDescent="0.25">
      <c r="A171" t="s">
        <v>40</v>
      </c>
      <c r="B171">
        <v>75</v>
      </c>
      <c r="C171" t="s">
        <v>35</v>
      </c>
      <c r="D171" t="s">
        <v>49</v>
      </c>
      <c r="E171" t="s">
        <v>7</v>
      </c>
      <c r="F171" s="8">
        <v>43777.385442492887</v>
      </c>
      <c r="G171" s="8">
        <v>4203.6622049545813</v>
      </c>
      <c r="H171" s="12">
        <v>5600</v>
      </c>
      <c r="I171" s="12">
        <v>409.07000000000005</v>
      </c>
      <c r="J171" s="8">
        <f t="shared" si="8"/>
        <v>39574</v>
      </c>
      <c r="K171" s="9">
        <f t="shared" si="9"/>
        <v>7.07</v>
      </c>
      <c r="L171" s="10">
        <f t="shared" si="10"/>
        <v>9.6023601283284063E-2</v>
      </c>
      <c r="M171" s="11">
        <f t="shared" si="11"/>
        <v>13.7</v>
      </c>
      <c r="N171">
        <f>F171/I171</f>
        <v>107.01685638764241</v>
      </c>
    </row>
    <row r="172" spans="1:14" x14ac:dyDescent="0.25">
      <c r="A172" t="s">
        <v>40</v>
      </c>
      <c r="B172">
        <v>7</v>
      </c>
      <c r="C172" t="s">
        <v>35</v>
      </c>
      <c r="D172" t="s">
        <v>49</v>
      </c>
      <c r="E172" t="s">
        <v>15</v>
      </c>
      <c r="F172" s="8">
        <v>29614.881763763835</v>
      </c>
      <c r="G172" s="8">
        <v>780.49992375235934</v>
      </c>
      <c r="H172" s="12">
        <v>937</v>
      </c>
      <c r="I172" s="12">
        <v>210</v>
      </c>
      <c r="J172" s="8">
        <f t="shared" si="8"/>
        <v>28834</v>
      </c>
      <c r="K172" s="9">
        <f t="shared" si="9"/>
        <v>30.77</v>
      </c>
      <c r="L172" s="10">
        <f t="shared" si="10"/>
        <v>2.6354990372015028E-2</v>
      </c>
      <c r="M172" s="11">
        <f t="shared" si="11"/>
        <v>4.5</v>
      </c>
      <c r="N172">
        <f>F172/I172</f>
        <v>141.02324649411349</v>
      </c>
    </row>
    <row r="173" spans="1:14" x14ac:dyDescent="0.25">
      <c r="A173" t="s">
        <v>40</v>
      </c>
      <c r="B173">
        <v>67</v>
      </c>
      <c r="C173" t="s">
        <v>35</v>
      </c>
      <c r="D173" t="s">
        <v>49</v>
      </c>
      <c r="E173" t="s">
        <v>15</v>
      </c>
      <c r="F173" s="8">
        <v>214008.57028560142</v>
      </c>
      <c r="G173" s="8">
        <v>7692.717383993674</v>
      </c>
      <c r="H173" s="12">
        <v>8163</v>
      </c>
      <c r="I173" s="12">
        <v>1906.316</v>
      </c>
      <c r="J173" s="8">
        <f t="shared" si="8"/>
        <v>206316</v>
      </c>
      <c r="K173" s="9">
        <f t="shared" si="9"/>
        <v>25.27</v>
      </c>
      <c r="L173" s="10">
        <f t="shared" si="10"/>
        <v>3.5945837934095309E-2</v>
      </c>
      <c r="M173" s="11">
        <f t="shared" si="11"/>
        <v>4.3</v>
      </c>
      <c r="N173">
        <f>F173/I173</f>
        <v>112.26290409648843</v>
      </c>
    </row>
    <row r="174" spans="1:14" x14ac:dyDescent="0.25">
      <c r="A174" t="s">
        <v>40</v>
      </c>
      <c r="B174">
        <v>70</v>
      </c>
      <c r="C174" t="s">
        <v>35</v>
      </c>
      <c r="D174" t="s">
        <v>49</v>
      </c>
      <c r="E174" t="s">
        <v>15</v>
      </c>
      <c r="F174" s="8">
        <v>5225.9059970355338</v>
      </c>
      <c r="G174" s="8">
        <v>110.03364853102855</v>
      </c>
      <c r="H174" s="12">
        <v>87</v>
      </c>
      <c r="I174" s="12">
        <v>47.28</v>
      </c>
      <c r="J174" s="8">
        <f t="shared" si="8"/>
        <v>5116</v>
      </c>
      <c r="K174" s="9">
        <f t="shared" si="9"/>
        <v>58.8</v>
      </c>
      <c r="L174" s="10">
        <f t="shared" si="10"/>
        <v>2.1055420551660636E-2</v>
      </c>
      <c r="M174" s="11">
        <f t="shared" si="11"/>
        <v>1.8</v>
      </c>
      <c r="N174">
        <f>F174/I174</f>
        <v>110.53100670548929</v>
      </c>
    </row>
    <row r="175" spans="1:14" x14ac:dyDescent="0.25">
      <c r="A175" t="s">
        <v>40</v>
      </c>
      <c r="B175">
        <v>7</v>
      </c>
      <c r="C175" t="s">
        <v>35</v>
      </c>
      <c r="D175" t="s">
        <v>49</v>
      </c>
      <c r="E175" t="s">
        <v>26</v>
      </c>
      <c r="F175" s="8">
        <v>18329.923732587988</v>
      </c>
      <c r="G175" s="8">
        <v>291.85471449579899</v>
      </c>
      <c r="H175" s="12">
        <v>384</v>
      </c>
      <c r="I175" s="12">
        <v>132</v>
      </c>
      <c r="J175" s="8">
        <f t="shared" si="8"/>
        <v>18038</v>
      </c>
      <c r="K175" s="9">
        <f t="shared" si="9"/>
        <v>46.97</v>
      </c>
      <c r="L175" s="10">
        <f t="shared" si="10"/>
        <v>1.5922309266182214E-2</v>
      </c>
      <c r="M175" s="11">
        <f t="shared" si="11"/>
        <v>2.9</v>
      </c>
      <c r="N175">
        <f>F175/I175</f>
        <v>138.86305858021203</v>
      </c>
    </row>
    <row r="176" spans="1:14" x14ac:dyDescent="0.25">
      <c r="A176" t="s">
        <v>40</v>
      </c>
      <c r="B176">
        <v>67</v>
      </c>
      <c r="C176" t="s">
        <v>35</v>
      </c>
      <c r="D176" t="s">
        <v>49</v>
      </c>
      <c r="E176" t="s">
        <v>26</v>
      </c>
      <c r="F176" s="8">
        <v>182708.09526080723</v>
      </c>
      <c r="G176" s="8">
        <v>5338.4666869296334</v>
      </c>
      <c r="H176" s="12">
        <v>6696</v>
      </c>
      <c r="I176" s="12">
        <v>1628.0809999999999</v>
      </c>
      <c r="J176" s="8">
        <f t="shared" si="8"/>
        <v>177370</v>
      </c>
      <c r="K176" s="9">
        <f t="shared" si="9"/>
        <v>26.49</v>
      </c>
      <c r="L176" s="10">
        <f t="shared" si="10"/>
        <v>2.9218555857140446E-2</v>
      </c>
      <c r="M176" s="11">
        <f t="shared" si="11"/>
        <v>4.0999999999999996</v>
      </c>
      <c r="N176">
        <f>F176/I176</f>
        <v>112.22297616691506</v>
      </c>
    </row>
    <row r="177" spans="1:14" x14ac:dyDescent="0.25">
      <c r="A177" t="s">
        <v>40</v>
      </c>
      <c r="B177">
        <v>70</v>
      </c>
      <c r="C177" t="s">
        <v>35</v>
      </c>
      <c r="D177" t="s">
        <v>49</v>
      </c>
      <c r="E177" t="s">
        <v>26</v>
      </c>
      <c r="F177" s="8">
        <v>3339.6123744703646</v>
      </c>
      <c r="G177" s="8">
        <v>16.899999999999999</v>
      </c>
      <c r="H177" s="12">
        <v>35</v>
      </c>
      <c r="I177" s="12">
        <v>30.08</v>
      </c>
      <c r="J177" s="8">
        <f t="shared" si="8"/>
        <v>3323</v>
      </c>
      <c r="K177" s="9">
        <f t="shared" si="9"/>
        <v>94.94</v>
      </c>
      <c r="L177" s="10">
        <f t="shared" si="10"/>
        <v>5.0604675348528139E-3</v>
      </c>
      <c r="M177" s="11">
        <f t="shared" si="11"/>
        <v>1.2</v>
      </c>
      <c r="N177">
        <f>F177/I177</f>
        <v>111.02434755553074</v>
      </c>
    </row>
    <row r="178" spans="1:14" x14ac:dyDescent="0.25">
      <c r="A178" t="s">
        <v>40</v>
      </c>
      <c r="B178" t="s">
        <v>33</v>
      </c>
      <c r="C178" t="s">
        <v>14</v>
      </c>
      <c r="D178" t="s">
        <v>50</v>
      </c>
      <c r="E178" t="s">
        <v>7</v>
      </c>
      <c r="F178" s="8">
        <v>219396.26940639268</v>
      </c>
      <c r="G178" s="8">
        <v>0</v>
      </c>
      <c r="H178" s="12">
        <v>3463</v>
      </c>
      <c r="I178" s="12">
        <v>1778</v>
      </c>
      <c r="J178" s="8">
        <f t="shared" si="8"/>
        <v>219396</v>
      </c>
      <c r="K178" s="9">
        <f t="shared" si="9"/>
        <v>63.35</v>
      </c>
      <c r="L178" s="10">
        <f t="shared" si="10"/>
        <v>0</v>
      </c>
      <c r="M178" s="11">
        <f t="shared" si="11"/>
        <v>1.9</v>
      </c>
      <c r="N178">
        <f>F178/I178</f>
        <v>123.39497716894977</v>
      </c>
    </row>
    <row r="179" spans="1:14" x14ac:dyDescent="0.25">
      <c r="A179" t="s">
        <v>40</v>
      </c>
      <c r="B179" t="s">
        <v>27</v>
      </c>
      <c r="C179" t="s">
        <v>14</v>
      </c>
      <c r="D179" t="s">
        <v>50</v>
      </c>
      <c r="E179" t="s">
        <v>7</v>
      </c>
      <c r="F179" s="8">
        <v>8387642</v>
      </c>
      <c r="G179" s="8">
        <v>530346</v>
      </c>
      <c r="H179" s="12">
        <v>122835</v>
      </c>
      <c r="I179" s="12">
        <v>85548</v>
      </c>
      <c r="J179" s="8">
        <f t="shared" si="8"/>
        <v>7857296</v>
      </c>
      <c r="K179" s="9">
        <f t="shared" si="9"/>
        <v>63.97</v>
      </c>
      <c r="L179" s="10">
        <f t="shared" si="10"/>
        <v>6.3229451137757187E-2</v>
      </c>
      <c r="M179" s="11">
        <f t="shared" si="11"/>
        <v>1.4</v>
      </c>
      <c r="N179">
        <f>F179/I179</f>
        <v>98.046032636648434</v>
      </c>
    </row>
    <row r="180" spans="1:14" x14ac:dyDescent="0.25">
      <c r="A180" t="s">
        <v>40</v>
      </c>
      <c r="B180" t="s">
        <v>33</v>
      </c>
      <c r="C180" t="s">
        <v>14</v>
      </c>
      <c r="D180" t="s">
        <v>50</v>
      </c>
      <c r="E180" t="s">
        <v>15</v>
      </c>
      <c r="F180" s="8">
        <v>28257.449771689495</v>
      </c>
      <c r="G180" s="8">
        <v>0</v>
      </c>
      <c r="H180" s="12">
        <v>403</v>
      </c>
      <c r="I180" s="12">
        <v>229</v>
      </c>
      <c r="J180" s="8">
        <f t="shared" si="8"/>
        <v>28257</v>
      </c>
      <c r="K180" s="9">
        <f t="shared" si="9"/>
        <v>70.12</v>
      </c>
      <c r="L180" s="10">
        <f t="shared" si="10"/>
        <v>0</v>
      </c>
      <c r="M180" s="11">
        <f t="shared" si="11"/>
        <v>1.8</v>
      </c>
      <c r="N180">
        <f>F180/I180</f>
        <v>123.39497716894977</v>
      </c>
    </row>
    <row r="181" spans="1:14" x14ac:dyDescent="0.25">
      <c r="A181" t="s">
        <v>40</v>
      </c>
      <c r="B181" t="s">
        <v>33</v>
      </c>
      <c r="C181" t="s">
        <v>14</v>
      </c>
      <c r="D181" t="s">
        <v>50</v>
      </c>
      <c r="E181" t="s">
        <v>16</v>
      </c>
      <c r="F181" s="8">
        <v>22581.280821917808</v>
      </c>
      <c r="G181" s="8">
        <v>0</v>
      </c>
      <c r="H181" s="12">
        <v>304</v>
      </c>
      <c r="I181" s="12">
        <v>183</v>
      </c>
      <c r="J181" s="8">
        <f t="shared" si="8"/>
        <v>22581</v>
      </c>
      <c r="K181" s="9">
        <f t="shared" si="9"/>
        <v>74.28</v>
      </c>
      <c r="L181" s="10">
        <f t="shared" si="10"/>
        <v>0</v>
      </c>
      <c r="M181" s="11">
        <f t="shared" si="11"/>
        <v>1.7</v>
      </c>
      <c r="N181">
        <f>F181/I181</f>
        <v>123.39497716894977</v>
      </c>
    </row>
    <row r="182" spans="1:14" x14ac:dyDescent="0.25">
      <c r="A182" t="s">
        <v>40</v>
      </c>
      <c r="B182">
        <v>219</v>
      </c>
      <c r="C182" t="s">
        <v>37</v>
      </c>
      <c r="D182" t="s">
        <v>49</v>
      </c>
      <c r="E182" t="s">
        <v>7</v>
      </c>
      <c r="F182" s="8">
        <v>720199.34899578057</v>
      </c>
      <c r="G182" s="8">
        <v>61523.240995447966</v>
      </c>
      <c r="H182" s="12">
        <v>54320</v>
      </c>
      <c r="I182" s="12">
        <v>7340.2</v>
      </c>
      <c r="J182" s="8">
        <f t="shared" si="8"/>
        <v>658676</v>
      </c>
      <c r="K182" s="9">
        <f t="shared" si="9"/>
        <v>12.13</v>
      </c>
      <c r="L182" s="10">
        <f t="shared" si="10"/>
        <v>8.5425293817932083E-2</v>
      </c>
      <c r="M182" s="11">
        <f t="shared" si="11"/>
        <v>7.4</v>
      </c>
      <c r="N182">
        <f>F182/I182</f>
        <v>98.117128824252831</v>
      </c>
    </row>
    <row r="183" spans="1:14" x14ac:dyDescent="0.25">
      <c r="A183" t="s">
        <v>40</v>
      </c>
      <c r="B183">
        <v>225</v>
      </c>
      <c r="C183" t="s">
        <v>37</v>
      </c>
      <c r="D183" t="s">
        <v>49</v>
      </c>
      <c r="E183" t="s">
        <v>7</v>
      </c>
      <c r="F183" s="8">
        <v>186555.37217308587</v>
      </c>
      <c r="G183" s="8">
        <v>8791.2207573118249</v>
      </c>
      <c r="H183" s="12">
        <v>9811</v>
      </c>
      <c r="I183" s="12">
        <v>1770.6320000000001</v>
      </c>
      <c r="J183" s="8">
        <f t="shared" si="8"/>
        <v>177764</v>
      </c>
      <c r="K183" s="9">
        <f t="shared" si="9"/>
        <v>18.12</v>
      </c>
      <c r="L183" s="10">
        <f t="shared" si="10"/>
        <v>4.7123921733839648E-2</v>
      </c>
      <c r="M183" s="11">
        <f t="shared" si="11"/>
        <v>5.5</v>
      </c>
      <c r="N183">
        <f>F183/I183</f>
        <v>105.36089496467129</v>
      </c>
    </row>
    <row r="184" spans="1:14" x14ac:dyDescent="0.25">
      <c r="A184" t="s">
        <v>40</v>
      </c>
      <c r="B184">
        <v>227</v>
      </c>
      <c r="C184" t="s">
        <v>37</v>
      </c>
      <c r="D184" t="s">
        <v>49</v>
      </c>
      <c r="E184" t="s">
        <v>7</v>
      </c>
      <c r="F184" s="8">
        <v>203056.63698504012</v>
      </c>
      <c r="G184" s="8">
        <v>8730.6206773905215</v>
      </c>
      <c r="H184" s="12">
        <v>7401</v>
      </c>
      <c r="I184" s="12">
        <v>1629.8</v>
      </c>
      <c r="J184" s="8">
        <f t="shared" si="8"/>
        <v>194326</v>
      </c>
      <c r="K184" s="9">
        <f t="shared" si="9"/>
        <v>26.26</v>
      </c>
      <c r="L184" s="10">
        <f t="shared" si="10"/>
        <v>4.2995987755050508E-2</v>
      </c>
      <c r="M184" s="11">
        <f t="shared" si="11"/>
        <v>4.5</v>
      </c>
      <c r="N184">
        <f>F184/I184</f>
        <v>124.58991102284951</v>
      </c>
    </row>
    <row r="185" spans="1:14" x14ac:dyDescent="0.25">
      <c r="A185" t="s">
        <v>40</v>
      </c>
      <c r="B185">
        <v>323</v>
      </c>
      <c r="C185" t="s">
        <v>37</v>
      </c>
      <c r="D185" t="s">
        <v>49</v>
      </c>
      <c r="E185" t="s">
        <v>7</v>
      </c>
      <c r="F185" s="8">
        <v>792924.66952965036</v>
      </c>
      <c r="G185" s="8">
        <v>28870.441697253464</v>
      </c>
      <c r="H185" s="12">
        <v>39242</v>
      </c>
      <c r="I185" s="12">
        <v>6309.05</v>
      </c>
      <c r="J185" s="8">
        <f t="shared" si="8"/>
        <v>764054</v>
      </c>
      <c r="K185" s="9">
        <f t="shared" si="9"/>
        <v>19.47</v>
      </c>
      <c r="L185" s="10">
        <f t="shared" si="10"/>
        <v>3.6410068707256799E-2</v>
      </c>
      <c r="M185" s="11">
        <f t="shared" si="11"/>
        <v>6.2</v>
      </c>
      <c r="N185">
        <f>F185/I185</f>
        <v>125.68051759451112</v>
      </c>
    </row>
    <row r="186" spans="1:14" x14ac:dyDescent="0.25">
      <c r="A186" t="s">
        <v>40</v>
      </c>
      <c r="B186">
        <v>534</v>
      </c>
      <c r="C186" t="s">
        <v>37</v>
      </c>
      <c r="D186" t="s">
        <v>49</v>
      </c>
      <c r="E186" t="s">
        <v>7</v>
      </c>
      <c r="F186" s="8">
        <v>344105.99761460902</v>
      </c>
      <c r="G186" s="8">
        <v>20641.330832698295</v>
      </c>
      <c r="H186" s="12">
        <v>19828</v>
      </c>
      <c r="I186" s="12">
        <v>3235.4000000000005</v>
      </c>
      <c r="J186" s="8">
        <f t="shared" si="8"/>
        <v>323465</v>
      </c>
      <c r="K186" s="9">
        <f t="shared" si="9"/>
        <v>16.309999999999999</v>
      </c>
      <c r="L186" s="10">
        <f t="shared" si="10"/>
        <v>5.9985385246949754E-2</v>
      </c>
      <c r="M186" s="11">
        <f t="shared" si="11"/>
        <v>6.1</v>
      </c>
      <c r="N186">
        <f>F186/I186</f>
        <v>106.35655486635623</v>
      </c>
    </row>
    <row r="187" spans="1:14" x14ac:dyDescent="0.25">
      <c r="A187" t="s">
        <v>40</v>
      </c>
      <c r="B187">
        <v>537</v>
      </c>
      <c r="C187" t="s">
        <v>37</v>
      </c>
      <c r="D187" t="s">
        <v>49</v>
      </c>
      <c r="E187" t="s">
        <v>7</v>
      </c>
      <c r="F187" s="8">
        <v>213435.59972222897</v>
      </c>
      <c r="G187" s="8">
        <v>15514.664935472798</v>
      </c>
      <c r="H187" s="12">
        <v>11338</v>
      </c>
      <c r="I187" s="12">
        <v>1820.6010000000001</v>
      </c>
      <c r="J187" s="8">
        <f t="shared" si="8"/>
        <v>197921</v>
      </c>
      <c r="K187" s="9">
        <f t="shared" si="9"/>
        <v>17.46</v>
      </c>
      <c r="L187" s="10">
        <f t="shared" si="10"/>
        <v>7.2690146140868786E-2</v>
      </c>
      <c r="M187" s="11">
        <f t="shared" si="11"/>
        <v>6.2</v>
      </c>
      <c r="N187">
        <f>F187/I187</f>
        <v>117.23359468781406</v>
      </c>
    </row>
    <row r="188" spans="1:14" x14ac:dyDescent="0.25">
      <c r="A188" t="s">
        <v>40</v>
      </c>
      <c r="B188">
        <v>538</v>
      </c>
      <c r="C188" t="s">
        <v>37</v>
      </c>
      <c r="D188" t="s">
        <v>49</v>
      </c>
      <c r="E188" t="s">
        <v>7</v>
      </c>
      <c r="F188" s="8">
        <v>774887.98029815918</v>
      </c>
      <c r="G188" s="8">
        <v>72156.292228770821</v>
      </c>
      <c r="H188" s="12">
        <v>64753</v>
      </c>
      <c r="I188" s="12">
        <v>7719.8</v>
      </c>
      <c r="J188" s="8">
        <f t="shared" si="8"/>
        <v>702732</v>
      </c>
      <c r="K188" s="9">
        <f t="shared" si="9"/>
        <v>10.85</v>
      </c>
      <c r="L188" s="10">
        <f t="shared" si="10"/>
        <v>9.3118352669513252E-2</v>
      </c>
      <c r="M188" s="11">
        <f t="shared" si="11"/>
        <v>8.4</v>
      </c>
      <c r="N188">
        <f>F188/I188</f>
        <v>100.37669114460985</v>
      </c>
    </row>
    <row r="189" spans="1:14" x14ac:dyDescent="0.25">
      <c r="A189" t="s">
        <v>40</v>
      </c>
      <c r="B189">
        <v>539</v>
      </c>
      <c r="C189" t="s">
        <v>37</v>
      </c>
      <c r="D189" t="s">
        <v>49</v>
      </c>
      <c r="E189" t="s">
        <v>7</v>
      </c>
      <c r="F189" s="8">
        <v>648938.19168844493</v>
      </c>
      <c r="G189" s="8">
        <v>96521.128966080985</v>
      </c>
      <c r="H189" s="12">
        <v>80903</v>
      </c>
      <c r="I189" s="12">
        <v>6035.35</v>
      </c>
      <c r="J189" s="8">
        <f t="shared" si="8"/>
        <v>552417</v>
      </c>
      <c r="K189" s="9">
        <f t="shared" si="9"/>
        <v>6.83</v>
      </c>
      <c r="L189" s="10">
        <f t="shared" si="10"/>
        <v>0.14873701409828682</v>
      </c>
      <c r="M189" s="11">
        <f t="shared" si="11"/>
        <v>13.4</v>
      </c>
      <c r="N189">
        <f>F189/I189</f>
        <v>107.52287633500043</v>
      </c>
    </row>
    <row r="190" spans="1:14" x14ac:dyDescent="0.25">
      <c r="A190" t="s">
        <v>40</v>
      </c>
      <c r="B190">
        <v>540</v>
      </c>
      <c r="C190" t="s">
        <v>37</v>
      </c>
      <c r="D190" t="s">
        <v>49</v>
      </c>
      <c r="E190" t="s">
        <v>7</v>
      </c>
      <c r="F190" s="8">
        <v>1325665.1861065528</v>
      </c>
      <c r="G190" s="8">
        <v>107783.45101036216</v>
      </c>
      <c r="H190" s="12">
        <v>92595</v>
      </c>
      <c r="I190" s="12">
        <v>10651.5</v>
      </c>
      <c r="J190" s="8">
        <f t="shared" si="8"/>
        <v>1217882</v>
      </c>
      <c r="K190" s="9">
        <f t="shared" si="9"/>
        <v>13.15</v>
      </c>
      <c r="L190" s="10">
        <f t="shared" si="10"/>
        <v>8.1305183344913504E-2</v>
      </c>
      <c r="M190" s="11">
        <f t="shared" si="11"/>
        <v>8.6999999999999993</v>
      </c>
      <c r="N190">
        <f>F190/I190</f>
        <v>124.45807502291254</v>
      </c>
    </row>
    <row r="191" spans="1:14" x14ac:dyDescent="0.25">
      <c r="A191" t="s">
        <v>40</v>
      </c>
      <c r="B191">
        <v>542</v>
      </c>
      <c r="C191" t="s">
        <v>37</v>
      </c>
      <c r="D191" t="s">
        <v>49</v>
      </c>
      <c r="E191" t="s">
        <v>7</v>
      </c>
      <c r="F191" s="8">
        <v>534149.44282909401</v>
      </c>
      <c r="G191" s="8">
        <v>21946.14597650522</v>
      </c>
      <c r="H191" s="12">
        <v>20520</v>
      </c>
      <c r="I191" s="12">
        <v>4392.8999999999996</v>
      </c>
      <c r="J191" s="8">
        <f t="shared" si="8"/>
        <v>512203</v>
      </c>
      <c r="K191" s="9">
        <f t="shared" si="9"/>
        <v>24.96</v>
      </c>
      <c r="L191" s="10">
        <f t="shared" si="10"/>
        <v>4.1086153455985333E-2</v>
      </c>
      <c r="M191" s="11">
        <f t="shared" si="11"/>
        <v>4.7</v>
      </c>
      <c r="N191">
        <f>F191/I191</f>
        <v>121.59380883450433</v>
      </c>
    </row>
    <row r="192" spans="1:14" x14ac:dyDescent="0.25">
      <c r="A192" t="s">
        <v>40</v>
      </c>
      <c r="B192">
        <v>546</v>
      </c>
      <c r="C192" t="s">
        <v>37</v>
      </c>
      <c r="D192" t="s">
        <v>49</v>
      </c>
      <c r="E192" t="s">
        <v>7</v>
      </c>
      <c r="F192" s="8">
        <v>575431.89608582132</v>
      </c>
      <c r="G192" s="8">
        <v>37675.646700804049</v>
      </c>
      <c r="H192" s="12">
        <v>33958</v>
      </c>
      <c r="I192" s="12">
        <v>4720.4799999999996</v>
      </c>
      <c r="J192" s="8">
        <f t="shared" si="8"/>
        <v>537756</v>
      </c>
      <c r="K192" s="9">
        <f t="shared" si="9"/>
        <v>15.84</v>
      </c>
      <c r="L192" s="10">
        <f t="shared" si="10"/>
        <v>6.5473684995704537E-2</v>
      </c>
      <c r="M192" s="11">
        <f t="shared" si="11"/>
        <v>7.2</v>
      </c>
      <c r="N192">
        <f>F192/I192</f>
        <v>121.90114058015739</v>
      </c>
    </row>
    <row r="193" spans="1:14" x14ac:dyDescent="0.25">
      <c r="A193" t="s">
        <v>40</v>
      </c>
      <c r="B193">
        <v>547</v>
      </c>
      <c r="C193" t="s">
        <v>37</v>
      </c>
      <c r="D193" t="s">
        <v>49</v>
      </c>
      <c r="E193" t="s">
        <v>7</v>
      </c>
      <c r="F193" s="8">
        <v>203668.53928993532</v>
      </c>
      <c r="G193" s="8">
        <v>5744.115145697524</v>
      </c>
      <c r="H193" s="12">
        <v>5283</v>
      </c>
      <c r="I193" s="12">
        <v>1812.2999999999997</v>
      </c>
      <c r="J193" s="8">
        <f t="shared" si="8"/>
        <v>197924</v>
      </c>
      <c r="K193" s="9">
        <f t="shared" si="9"/>
        <v>37.46</v>
      </c>
      <c r="L193" s="10">
        <f t="shared" si="10"/>
        <v>2.8203252037470573E-2</v>
      </c>
      <c r="M193" s="11">
        <f t="shared" si="11"/>
        <v>2.9</v>
      </c>
      <c r="N193">
        <f>F193/I193</f>
        <v>112.38124995306259</v>
      </c>
    </row>
    <row r="194" spans="1:14" x14ac:dyDescent="0.25">
      <c r="A194" t="s">
        <v>40</v>
      </c>
      <c r="B194">
        <v>615</v>
      </c>
      <c r="C194" t="s">
        <v>37</v>
      </c>
      <c r="D194" t="s">
        <v>49</v>
      </c>
      <c r="E194" t="s">
        <v>7</v>
      </c>
      <c r="F194" s="8">
        <v>412129.1906500684</v>
      </c>
      <c r="G194" s="8">
        <v>22874.010630166391</v>
      </c>
      <c r="H194" s="12">
        <v>18652</v>
      </c>
      <c r="I194" s="12">
        <v>4917.018</v>
      </c>
      <c r="J194" s="8">
        <f t="shared" ref="J194:J239" si="12">ROUND(F194-G194,0)</f>
        <v>389255</v>
      </c>
      <c r="K194" s="9">
        <f t="shared" ref="K194:K239" si="13">ROUND(J194/H194,2)</f>
        <v>20.87</v>
      </c>
      <c r="L194" s="10">
        <f t="shared" ref="L194:L239" si="14">+G194/F194</f>
        <v>5.5502039528154433E-2</v>
      </c>
      <c r="M194" s="11">
        <f t="shared" ref="M194:M239" si="15">ROUND(H194/I194,1)</f>
        <v>3.8</v>
      </c>
      <c r="N194">
        <f>F194/I194</f>
        <v>83.81689687734891</v>
      </c>
    </row>
    <row r="195" spans="1:14" x14ac:dyDescent="0.25">
      <c r="A195" t="s">
        <v>40</v>
      </c>
      <c r="B195">
        <v>705</v>
      </c>
      <c r="C195" t="s">
        <v>37</v>
      </c>
      <c r="D195" t="s">
        <v>49</v>
      </c>
      <c r="E195" t="s">
        <v>7</v>
      </c>
      <c r="F195" s="8">
        <v>675067.33401617326</v>
      </c>
      <c r="G195" s="8">
        <v>27041.325098641631</v>
      </c>
      <c r="H195" s="12">
        <v>27253</v>
      </c>
      <c r="I195" s="12">
        <v>5278.68</v>
      </c>
      <c r="J195" s="8">
        <f t="shared" si="12"/>
        <v>648026</v>
      </c>
      <c r="K195" s="9">
        <f t="shared" si="13"/>
        <v>23.78</v>
      </c>
      <c r="L195" s="10">
        <f t="shared" si="14"/>
        <v>4.0057226495859119E-2</v>
      </c>
      <c r="M195" s="11">
        <f t="shared" si="15"/>
        <v>5.2</v>
      </c>
      <c r="N195">
        <f>F195/I195</f>
        <v>127.8856331537758</v>
      </c>
    </row>
    <row r="196" spans="1:14" x14ac:dyDescent="0.25">
      <c r="A196" t="s">
        <v>40</v>
      </c>
      <c r="B196">
        <v>716</v>
      </c>
      <c r="C196" t="s">
        <v>37</v>
      </c>
      <c r="D196" t="s">
        <v>49</v>
      </c>
      <c r="E196" t="s">
        <v>7</v>
      </c>
      <c r="F196" s="8">
        <v>282875.24840598111</v>
      </c>
      <c r="G196" s="8">
        <v>25498.132077494687</v>
      </c>
      <c r="H196" s="12">
        <v>28201</v>
      </c>
      <c r="I196" s="12">
        <v>3040.38</v>
      </c>
      <c r="J196" s="8">
        <f t="shared" si="12"/>
        <v>257377</v>
      </c>
      <c r="K196" s="9">
        <f t="shared" si="13"/>
        <v>9.1300000000000008</v>
      </c>
      <c r="L196" s="10">
        <f t="shared" si="14"/>
        <v>9.0139141622245789E-2</v>
      </c>
      <c r="M196" s="11">
        <f t="shared" si="15"/>
        <v>9.3000000000000007</v>
      </c>
      <c r="N196">
        <f>F196/I196</f>
        <v>93.039438624770952</v>
      </c>
    </row>
    <row r="197" spans="1:14" x14ac:dyDescent="0.25">
      <c r="A197" t="s">
        <v>40</v>
      </c>
      <c r="B197">
        <v>717</v>
      </c>
      <c r="C197" t="s">
        <v>37</v>
      </c>
      <c r="D197" t="s">
        <v>49</v>
      </c>
      <c r="E197" t="s">
        <v>7</v>
      </c>
      <c r="F197" s="8">
        <v>300439.39781681006</v>
      </c>
      <c r="G197" s="8">
        <v>27249.119959771488</v>
      </c>
      <c r="H197" s="12">
        <v>33990</v>
      </c>
      <c r="I197" s="12">
        <v>3479.8</v>
      </c>
      <c r="J197" s="8">
        <f t="shared" si="12"/>
        <v>273190</v>
      </c>
      <c r="K197" s="9">
        <f t="shared" si="13"/>
        <v>8.0399999999999991</v>
      </c>
      <c r="L197" s="10">
        <f t="shared" si="14"/>
        <v>9.0697558834764963E-2</v>
      </c>
      <c r="M197" s="11">
        <f t="shared" si="15"/>
        <v>9.8000000000000007</v>
      </c>
      <c r="N197">
        <f>F197/I197</f>
        <v>86.338122253235824</v>
      </c>
    </row>
    <row r="198" spans="1:14" x14ac:dyDescent="0.25">
      <c r="A198" t="s">
        <v>40</v>
      </c>
      <c r="B198">
        <v>801</v>
      </c>
      <c r="C198" t="s">
        <v>37</v>
      </c>
      <c r="D198" t="s">
        <v>49</v>
      </c>
      <c r="E198" t="s">
        <v>7</v>
      </c>
      <c r="F198" s="8">
        <v>456803.76014055079</v>
      </c>
      <c r="G198" s="8">
        <v>33380.191105870712</v>
      </c>
      <c r="H198" s="12">
        <v>32102</v>
      </c>
      <c r="I198" s="12">
        <v>4279.9000000000005</v>
      </c>
      <c r="J198" s="8">
        <f t="shared" si="12"/>
        <v>423424</v>
      </c>
      <c r="K198" s="9">
        <f t="shared" si="13"/>
        <v>13.19</v>
      </c>
      <c r="L198" s="10">
        <f t="shared" si="14"/>
        <v>7.3073372022157149E-2</v>
      </c>
      <c r="M198" s="11">
        <f t="shared" si="15"/>
        <v>7.5</v>
      </c>
      <c r="N198">
        <f>F198/I198</f>
        <v>106.73234424648957</v>
      </c>
    </row>
    <row r="199" spans="1:14" x14ac:dyDescent="0.25">
      <c r="A199" t="s">
        <v>40</v>
      </c>
      <c r="B199">
        <v>804</v>
      </c>
      <c r="C199" t="s">
        <v>37</v>
      </c>
      <c r="D199" t="s">
        <v>49</v>
      </c>
      <c r="E199" t="s">
        <v>7</v>
      </c>
      <c r="F199" s="8">
        <v>312193.50973446469</v>
      </c>
      <c r="G199" s="8">
        <v>15040.292779210991</v>
      </c>
      <c r="H199" s="12">
        <v>12121</v>
      </c>
      <c r="I199" s="12">
        <v>2739.4849999999997</v>
      </c>
      <c r="J199" s="8">
        <f t="shared" si="12"/>
        <v>297153</v>
      </c>
      <c r="K199" s="9">
        <f t="shared" si="13"/>
        <v>24.52</v>
      </c>
      <c r="L199" s="10">
        <f t="shared" si="14"/>
        <v>4.8176186596587067E-2</v>
      </c>
      <c r="M199" s="11">
        <f t="shared" si="15"/>
        <v>4.4000000000000004</v>
      </c>
      <c r="N199">
        <f>F199/I199</f>
        <v>113.9606567418565</v>
      </c>
    </row>
    <row r="200" spans="1:14" x14ac:dyDescent="0.25">
      <c r="A200" t="s">
        <v>40</v>
      </c>
      <c r="B200">
        <v>805</v>
      </c>
      <c r="C200" t="s">
        <v>37</v>
      </c>
      <c r="D200" t="s">
        <v>49</v>
      </c>
      <c r="E200" t="s">
        <v>7</v>
      </c>
      <c r="F200" s="8">
        <v>522035.45207869163</v>
      </c>
      <c r="G200" s="8">
        <v>31769.283153187134</v>
      </c>
      <c r="H200" s="12">
        <v>27137</v>
      </c>
      <c r="I200" s="12">
        <v>5425.299</v>
      </c>
      <c r="J200" s="8">
        <f t="shared" si="12"/>
        <v>490266</v>
      </c>
      <c r="K200" s="9">
        <f t="shared" si="13"/>
        <v>18.07</v>
      </c>
      <c r="L200" s="10">
        <f t="shared" si="14"/>
        <v>6.0856562570003832E-2</v>
      </c>
      <c r="M200" s="11">
        <f t="shared" si="15"/>
        <v>5</v>
      </c>
      <c r="N200">
        <f>F200/I200</f>
        <v>96.222429782891524</v>
      </c>
    </row>
    <row r="201" spans="1:14" x14ac:dyDescent="0.25">
      <c r="A201" t="s">
        <v>40</v>
      </c>
      <c r="B201">
        <v>831</v>
      </c>
      <c r="C201" t="s">
        <v>37</v>
      </c>
      <c r="D201" t="s">
        <v>49</v>
      </c>
      <c r="E201" t="s">
        <v>7</v>
      </c>
      <c r="F201" s="8">
        <v>180515.27892457525</v>
      </c>
      <c r="G201" s="8">
        <v>6520.0560059436266</v>
      </c>
      <c r="H201" s="12">
        <v>5342</v>
      </c>
      <c r="I201" s="12">
        <v>1763.46</v>
      </c>
      <c r="J201" s="8">
        <f t="shared" si="12"/>
        <v>173995</v>
      </c>
      <c r="K201" s="9">
        <f t="shared" si="13"/>
        <v>32.57</v>
      </c>
      <c r="L201" s="10">
        <f t="shared" si="14"/>
        <v>3.6119136533965659E-2</v>
      </c>
      <c r="M201" s="11">
        <f t="shared" si="15"/>
        <v>3</v>
      </c>
      <c r="N201">
        <f>F201/I201</f>
        <v>102.36426055854697</v>
      </c>
    </row>
    <row r="202" spans="1:14" x14ac:dyDescent="0.25">
      <c r="A202" t="s">
        <v>40</v>
      </c>
      <c r="B202">
        <v>219</v>
      </c>
      <c r="C202" t="s">
        <v>37</v>
      </c>
      <c r="D202" t="s">
        <v>49</v>
      </c>
      <c r="E202" t="s">
        <v>15</v>
      </c>
      <c r="F202" s="8">
        <v>124417.05657495908</v>
      </c>
      <c r="G202" s="8">
        <v>7902.727728917499</v>
      </c>
      <c r="H202" s="12">
        <v>7005</v>
      </c>
      <c r="I202" s="12">
        <v>1250.4000000000001</v>
      </c>
      <c r="J202" s="8">
        <f t="shared" si="12"/>
        <v>116514</v>
      </c>
      <c r="K202" s="9">
        <f t="shared" si="13"/>
        <v>16.63</v>
      </c>
      <c r="L202" s="10">
        <f t="shared" si="14"/>
        <v>6.3518041227379834E-2</v>
      </c>
      <c r="M202" s="11">
        <f t="shared" si="15"/>
        <v>5.6</v>
      </c>
      <c r="N202">
        <f>F202/I202</f>
        <v>99.501804682468858</v>
      </c>
    </row>
    <row r="203" spans="1:14" x14ac:dyDescent="0.25">
      <c r="A203" t="s">
        <v>40</v>
      </c>
      <c r="B203">
        <v>225</v>
      </c>
      <c r="C203" t="s">
        <v>37</v>
      </c>
      <c r="D203" t="s">
        <v>49</v>
      </c>
      <c r="E203" t="s">
        <v>15</v>
      </c>
      <c r="F203" s="8">
        <v>33411.319703209498</v>
      </c>
      <c r="G203" s="8">
        <v>974.89140039319352</v>
      </c>
      <c r="H203" s="12">
        <v>1092</v>
      </c>
      <c r="I203" s="12">
        <v>289.06200000000001</v>
      </c>
      <c r="J203" s="8">
        <f t="shared" si="12"/>
        <v>32436</v>
      </c>
      <c r="K203" s="9">
        <f t="shared" si="13"/>
        <v>29.7</v>
      </c>
      <c r="L203" s="10">
        <f t="shared" si="14"/>
        <v>2.917847630842146E-2</v>
      </c>
      <c r="M203" s="11">
        <f t="shared" si="15"/>
        <v>3.8</v>
      </c>
      <c r="N203">
        <f>F203/I203</f>
        <v>115.58530593163231</v>
      </c>
    </row>
    <row r="204" spans="1:14" x14ac:dyDescent="0.25">
      <c r="A204" t="s">
        <v>40</v>
      </c>
      <c r="B204">
        <v>227</v>
      </c>
      <c r="C204" t="s">
        <v>37</v>
      </c>
      <c r="D204" t="s">
        <v>49</v>
      </c>
      <c r="E204" t="s">
        <v>15</v>
      </c>
      <c r="F204" s="8">
        <v>33850.726277989605</v>
      </c>
      <c r="G204" s="8">
        <v>977.45080881622789</v>
      </c>
      <c r="H204" s="12">
        <v>881</v>
      </c>
      <c r="I204" s="12">
        <v>294.2</v>
      </c>
      <c r="J204" s="8">
        <f t="shared" si="12"/>
        <v>32873</v>
      </c>
      <c r="K204" s="9">
        <f t="shared" si="13"/>
        <v>37.31</v>
      </c>
      <c r="L204" s="10">
        <f t="shared" si="14"/>
        <v>2.8875327542138594E-2</v>
      </c>
      <c r="M204" s="11">
        <f t="shared" si="15"/>
        <v>3</v>
      </c>
      <c r="N204">
        <f>F204/I204</f>
        <v>115.06025247447181</v>
      </c>
    </row>
    <row r="205" spans="1:14" x14ac:dyDescent="0.25">
      <c r="A205" t="s">
        <v>40</v>
      </c>
      <c r="B205">
        <v>323</v>
      </c>
      <c r="C205" t="s">
        <v>37</v>
      </c>
      <c r="D205" t="s">
        <v>49</v>
      </c>
      <c r="E205" t="s">
        <v>15</v>
      </c>
      <c r="F205" s="8">
        <v>151464.17548074658</v>
      </c>
      <c r="G205" s="8">
        <v>2949.0909708661388</v>
      </c>
      <c r="H205" s="12">
        <v>3889</v>
      </c>
      <c r="I205" s="12">
        <v>1212.6599999999999</v>
      </c>
      <c r="J205" s="8">
        <f t="shared" si="12"/>
        <v>148515</v>
      </c>
      <c r="K205" s="9">
        <f t="shared" si="13"/>
        <v>38.19</v>
      </c>
      <c r="L205" s="10">
        <f t="shared" si="14"/>
        <v>1.9470551115507929E-2</v>
      </c>
      <c r="M205" s="11">
        <f t="shared" si="15"/>
        <v>3.2</v>
      </c>
      <c r="N205">
        <f>F205/I205</f>
        <v>124.90242564341744</v>
      </c>
    </row>
    <row r="206" spans="1:14" x14ac:dyDescent="0.25">
      <c r="A206" t="s">
        <v>40</v>
      </c>
      <c r="B206">
        <v>534</v>
      </c>
      <c r="C206" t="s">
        <v>37</v>
      </c>
      <c r="D206" t="s">
        <v>49</v>
      </c>
      <c r="E206" t="s">
        <v>15</v>
      </c>
      <c r="F206" s="8">
        <v>61498.300207761225</v>
      </c>
      <c r="G206" s="8">
        <v>1602.9491084768053</v>
      </c>
      <c r="H206" s="12">
        <v>1885</v>
      </c>
      <c r="I206" s="12">
        <v>590.40000000000009</v>
      </c>
      <c r="J206" s="8">
        <f t="shared" si="12"/>
        <v>59895</v>
      </c>
      <c r="K206" s="9">
        <f t="shared" si="13"/>
        <v>31.77</v>
      </c>
      <c r="L206" s="10">
        <f t="shared" si="14"/>
        <v>2.6064933552009124E-2</v>
      </c>
      <c r="M206" s="11">
        <f t="shared" si="15"/>
        <v>3.2</v>
      </c>
      <c r="N206">
        <f>F206/I206</f>
        <v>104.16378761477171</v>
      </c>
    </row>
    <row r="207" spans="1:14" x14ac:dyDescent="0.25">
      <c r="A207" t="s">
        <v>40</v>
      </c>
      <c r="B207">
        <v>538</v>
      </c>
      <c r="C207" t="s">
        <v>37</v>
      </c>
      <c r="D207" t="s">
        <v>49</v>
      </c>
      <c r="E207" t="s">
        <v>15</v>
      </c>
      <c r="F207" s="8">
        <v>113837.13953404388</v>
      </c>
      <c r="G207" s="8">
        <v>9788.2940058521781</v>
      </c>
      <c r="H207" s="12">
        <v>9795</v>
      </c>
      <c r="I207" s="12">
        <v>1178.82</v>
      </c>
      <c r="J207" s="8">
        <f t="shared" si="12"/>
        <v>104049</v>
      </c>
      <c r="K207" s="9">
        <f t="shared" si="13"/>
        <v>10.62</v>
      </c>
      <c r="L207" s="10">
        <f t="shared" si="14"/>
        <v>8.5985066437170216E-2</v>
      </c>
      <c r="M207" s="11">
        <f t="shared" si="15"/>
        <v>8.3000000000000007</v>
      </c>
      <c r="N207">
        <f>F207/I207</f>
        <v>96.568720868363172</v>
      </c>
    </row>
    <row r="208" spans="1:14" x14ac:dyDescent="0.25">
      <c r="A208" t="s">
        <v>40</v>
      </c>
      <c r="B208">
        <v>539</v>
      </c>
      <c r="C208" t="s">
        <v>37</v>
      </c>
      <c r="D208" t="s">
        <v>49</v>
      </c>
      <c r="E208" t="s">
        <v>15</v>
      </c>
      <c r="F208" s="8">
        <v>67171.941118637464</v>
      </c>
      <c r="G208" s="8">
        <v>6795.3695529039996</v>
      </c>
      <c r="H208" s="12">
        <v>6799</v>
      </c>
      <c r="I208" s="12">
        <v>540</v>
      </c>
      <c r="J208" s="8">
        <f t="shared" si="12"/>
        <v>60377</v>
      </c>
      <c r="K208" s="9">
        <f t="shared" si="13"/>
        <v>8.8800000000000008</v>
      </c>
      <c r="L208" s="10">
        <f t="shared" si="14"/>
        <v>0.10116381095645549</v>
      </c>
      <c r="M208" s="11">
        <f t="shared" si="15"/>
        <v>12.6</v>
      </c>
      <c r="N208">
        <f>F208/I208</f>
        <v>124.39248355303233</v>
      </c>
    </row>
    <row r="209" spans="1:14" x14ac:dyDescent="0.25">
      <c r="A209" t="s">
        <v>40</v>
      </c>
      <c r="B209">
        <v>540</v>
      </c>
      <c r="C209" t="s">
        <v>37</v>
      </c>
      <c r="D209" t="s">
        <v>49</v>
      </c>
      <c r="E209" t="s">
        <v>15</v>
      </c>
      <c r="F209" s="8">
        <v>158434.15435423001</v>
      </c>
      <c r="G209" s="8">
        <v>10719.692928579352</v>
      </c>
      <c r="H209" s="12">
        <v>9966</v>
      </c>
      <c r="I209" s="12">
        <v>1247.4000000000001</v>
      </c>
      <c r="J209" s="8">
        <f t="shared" si="12"/>
        <v>147714</v>
      </c>
      <c r="K209" s="9">
        <f t="shared" si="13"/>
        <v>14.82</v>
      </c>
      <c r="L209" s="10">
        <f t="shared" si="14"/>
        <v>6.7660240131127689E-2</v>
      </c>
      <c r="M209" s="11">
        <f t="shared" si="15"/>
        <v>8</v>
      </c>
      <c r="N209">
        <f>F209/I209</f>
        <v>127.01150741881513</v>
      </c>
    </row>
    <row r="210" spans="1:14" x14ac:dyDescent="0.25">
      <c r="A210" t="s">
        <v>40</v>
      </c>
      <c r="B210">
        <v>546</v>
      </c>
      <c r="C210" t="s">
        <v>37</v>
      </c>
      <c r="D210" t="s">
        <v>49</v>
      </c>
      <c r="E210" t="s">
        <v>15</v>
      </c>
      <c r="F210" s="8">
        <v>69724.424669230066</v>
      </c>
      <c r="G210" s="8">
        <v>5935.8466332193439</v>
      </c>
      <c r="H210" s="12">
        <v>4608</v>
      </c>
      <c r="I210" s="12">
        <v>692.3</v>
      </c>
      <c r="J210" s="8">
        <f t="shared" si="12"/>
        <v>63789</v>
      </c>
      <c r="K210" s="9">
        <f t="shared" si="13"/>
        <v>13.84</v>
      </c>
      <c r="L210" s="10">
        <f t="shared" si="14"/>
        <v>8.5132959667702776E-2</v>
      </c>
      <c r="M210" s="11">
        <f t="shared" si="15"/>
        <v>6.7</v>
      </c>
      <c r="N210">
        <f>F210/I210</f>
        <v>100.71417690196456</v>
      </c>
    </row>
    <row r="211" spans="1:14" x14ac:dyDescent="0.25">
      <c r="A211" t="s">
        <v>40</v>
      </c>
      <c r="B211">
        <v>615</v>
      </c>
      <c r="C211" t="s">
        <v>37</v>
      </c>
      <c r="D211" t="s">
        <v>49</v>
      </c>
      <c r="E211" t="s">
        <v>15</v>
      </c>
      <c r="F211" s="8">
        <v>78946.229457094101</v>
      </c>
      <c r="G211" s="8">
        <v>3292.7583926131542</v>
      </c>
      <c r="H211" s="12">
        <v>3008</v>
      </c>
      <c r="I211" s="12">
        <v>940.06200000000001</v>
      </c>
      <c r="J211" s="8">
        <f t="shared" si="12"/>
        <v>75653</v>
      </c>
      <c r="K211" s="9">
        <f t="shared" si="13"/>
        <v>25.15</v>
      </c>
      <c r="L211" s="10">
        <f t="shared" si="14"/>
        <v>4.1708874701897082E-2</v>
      </c>
      <c r="M211" s="11">
        <f t="shared" si="15"/>
        <v>3.2</v>
      </c>
      <c r="N211">
        <f>F211/I211</f>
        <v>83.97981139232742</v>
      </c>
    </row>
    <row r="212" spans="1:14" x14ac:dyDescent="0.25">
      <c r="A212" t="s">
        <v>40</v>
      </c>
      <c r="B212">
        <v>716</v>
      </c>
      <c r="C212" t="s">
        <v>37</v>
      </c>
      <c r="D212" t="s">
        <v>49</v>
      </c>
      <c r="E212" t="s">
        <v>15</v>
      </c>
      <c r="F212" s="8">
        <v>52603.790404130312</v>
      </c>
      <c r="G212" s="8">
        <v>3790.5100791001969</v>
      </c>
      <c r="H212" s="12">
        <v>3983</v>
      </c>
      <c r="I212" s="12">
        <v>580.5</v>
      </c>
      <c r="J212" s="8">
        <f t="shared" si="12"/>
        <v>48813</v>
      </c>
      <c r="K212" s="9">
        <f t="shared" si="13"/>
        <v>12.26</v>
      </c>
      <c r="L212" s="10">
        <f t="shared" si="14"/>
        <v>7.2057736714017773E-2</v>
      </c>
      <c r="M212" s="11">
        <f t="shared" si="15"/>
        <v>6.9</v>
      </c>
      <c r="N212">
        <f>F212/I212</f>
        <v>90.618071324944552</v>
      </c>
    </row>
    <row r="213" spans="1:14" x14ac:dyDescent="0.25">
      <c r="A213" t="s">
        <v>40</v>
      </c>
      <c r="B213">
        <v>804</v>
      </c>
      <c r="C213" t="s">
        <v>37</v>
      </c>
      <c r="D213" t="s">
        <v>49</v>
      </c>
      <c r="E213" t="s">
        <v>15</v>
      </c>
      <c r="F213" s="8">
        <v>50865.988496964477</v>
      </c>
      <c r="G213" s="8">
        <v>1243.4404804130081</v>
      </c>
      <c r="H213" s="12">
        <v>1206</v>
      </c>
      <c r="I213" s="12">
        <v>449.46000000000004</v>
      </c>
      <c r="J213" s="8">
        <f t="shared" si="12"/>
        <v>49623</v>
      </c>
      <c r="K213" s="9">
        <f t="shared" si="13"/>
        <v>41.15</v>
      </c>
      <c r="L213" s="10">
        <f t="shared" si="14"/>
        <v>2.444542054829452E-2</v>
      </c>
      <c r="M213" s="11">
        <f t="shared" si="15"/>
        <v>2.7</v>
      </c>
      <c r="N213">
        <f>F213/I213</f>
        <v>113.17133559596955</v>
      </c>
    </row>
    <row r="214" spans="1:14" x14ac:dyDescent="0.25">
      <c r="A214" t="s">
        <v>40</v>
      </c>
      <c r="B214">
        <v>805</v>
      </c>
      <c r="C214" t="s">
        <v>37</v>
      </c>
      <c r="D214" t="s">
        <v>49</v>
      </c>
      <c r="E214" t="s">
        <v>15</v>
      </c>
      <c r="F214" s="8">
        <v>81922.537562648446</v>
      </c>
      <c r="G214" s="8">
        <v>3208.7006091142975</v>
      </c>
      <c r="H214" s="12">
        <v>3168</v>
      </c>
      <c r="I214" s="12">
        <v>866.48699999999985</v>
      </c>
      <c r="J214" s="8">
        <f t="shared" si="12"/>
        <v>78714</v>
      </c>
      <c r="K214" s="9">
        <f t="shared" si="13"/>
        <v>24.85</v>
      </c>
      <c r="L214" s="10">
        <f t="shared" si="14"/>
        <v>3.9167495350843046E-2</v>
      </c>
      <c r="M214" s="11">
        <f t="shared" si="15"/>
        <v>3.7</v>
      </c>
      <c r="N214">
        <f>F214/I214</f>
        <v>94.54560491115096</v>
      </c>
    </row>
    <row r="215" spans="1:14" x14ac:dyDescent="0.25">
      <c r="A215" t="s">
        <v>40</v>
      </c>
      <c r="B215">
        <v>323</v>
      </c>
      <c r="C215" t="s">
        <v>37</v>
      </c>
      <c r="D215" t="s">
        <v>49</v>
      </c>
      <c r="E215" t="s">
        <v>26</v>
      </c>
      <c r="F215" s="8">
        <v>154488.03505709802</v>
      </c>
      <c r="G215" s="8">
        <v>2096.7377089645565</v>
      </c>
      <c r="H215" s="12">
        <v>2999</v>
      </c>
      <c r="I215" s="12">
        <v>1189.21</v>
      </c>
      <c r="J215" s="8">
        <f t="shared" si="12"/>
        <v>152391</v>
      </c>
      <c r="K215" s="9">
        <f t="shared" si="13"/>
        <v>50.81</v>
      </c>
      <c r="L215" s="10">
        <f t="shared" si="14"/>
        <v>1.3572168926801435E-2</v>
      </c>
      <c r="M215" s="11">
        <f t="shared" si="15"/>
        <v>2.5</v>
      </c>
      <c r="N215">
        <f>F215/I215</f>
        <v>129.90811972410089</v>
      </c>
    </row>
    <row r="216" spans="1:14" x14ac:dyDescent="0.25">
      <c r="A216" t="s">
        <v>40</v>
      </c>
      <c r="B216">
        <v>534</v>
      </c>
      <c r="C216" t="s">
        <v>37</v>
      </c>
      <c r="D216" t="s">
        <v>49</v>
      </c>
      <c r="E216" t="s">
        <v>26</v>
      </c>
      <c r="F216" s="8">
        <v>55287.326441037847</v>
      </c>
      <c r="G216" s="8">
        <v>1126.4457698364417</v>
      </c>
      <c r="H216" s="12">
        <v>1535</v>
      </c>
      <c r="I216" s="12">
        <v>518.33999999999992</v>
      </c>
      <c r="J216" s="8">
        <f t="shared" si="12"/>
        <v>54161</v>
      </c>
      <c r="K216" s="9">
        <f t="shared" si="13"/>
        <v>35.28</v>
      </c>
      <c r="L216" s="10">
        <f t="shared" si="14"/>
        <v>2.0374393958763042E-2</v>
      </c>
      <c r="M216" s="11">
        <f t="shared" si="15"/>
        <v>3</v>
      </c>
      <c r="N216">
        <f>F216/I216</f>
        <v>106.66228043569444</v>
      </c>
    </row>
    <row r="217" spans="1:14" x14ac:dyDescent="0.25">
      <c r="A217" t="s">
        <v>40</v>
      </c>
      <c r="B217">
        <v>538</v>
      </c>
      <c r="C217" t="s">
        <v>37</v>
      </c>
      <c r="D217" t="s">
        <v>49</v>
      </c>
      <c r="E217" t="s">
        <v>26</v>
      </c>
      <c r="F217" s="8">
        <v>95754.577960684561</v>
      </c>
      <c r="G217" s="8">
        <v>6646.4517219071968</v>
      </c>
      <c r="H217" s="12">
        <v>7470</v>
      </c>
      <c r="I217" s="12">
        <v>998.53199999999993</v>
      </c>
      <c r="J217" s="8">
        <f t="shared" si="12"/>
        <v>89108</v>
      </c>
      <c r="K217" s="9">
        <f t="shared" si="13"/>
        <v>11.93</v>
      </c>
      <c r="L217" s="10">
        <f t="shared" si="14"/>
        <v>6.9411320726995768E-2</v>
      </c>
      <c r="M217" s="11">
        <f t="shared" si="15"/>
        <v>7.5</v>
      </c>
      <c r="N217">
        <f>F217/I217</f>
        <v>95.895352337916634</v>
      </c>
    </row>
    <row r="218" spans="1:14" x14ac:dyDescent="0.25">
      <c r="A218" t="s">
        <v>40</v>
      </c>
      <c r="B218">
        <v>539</v>
      </c>
      <c r="C218" t="s">
        <v>37</v>
      </c>
      <c r="D218" t="s">
        <v>49</v>
      </c>
      <c r="E218" t="s">
        <v>26</v>
      </c>
      <c r="F218" s="8">
        <v>58145.126743515561</v>
      </c>
      <c r="G218" s="8">
        <v>3912.5983598527691</v>
      </c>
      <c r="H218" s="12">
        <v>4506</v>
      </c>
      <c r="I218" s="12">
        <v>461.70000000000005</v>
      </c>
      <c r="J218" s="8">
        <f t="shared" si="12"/>
        <v>54233</v>
      </c>
      <c r="K218" s="9">
        <f t="shared" si="13"/>
        <v>12.04</v>
      </c>
      <c r="L218" s="10">
        <f t="shared" si="14"/>
        <v>6.7290219816901656E-2</v>
      </c>
      <c r="M218" s="11">
        <f t="shared" si="15"/>
        <v>9.8000000000000007</v>
      </c>
      <c r="N218">
        <f>F218/I218</f>
        <v>125.93702998378937</v>
      </c>
    </row>
    <row r="219" spans="1:14" x14ac:dyDescent="0.25">
      <c r="A219" t="s">
        <v>40</v>
      </c>
      <c r="B219">
        <v>540</v>
      </c>
      <c r="C219" t="s">
        <v>37</v>
      </c>
      <c r="D219" t="s">
        <v>49</v>
      </c>
      <c r="E219" t="s">
        <v>26</v>
      </c>
      <c r="F219" s="8">
        <v>85466.844252778261</v>
      </c>
      <c r="G219" s="8">
        <v>6448.97975138937</v>
      </c>
      <c r="H219" s="12">
        <v>5619</v>
      </c>
      <c r="I219" s="12">
        <v>661.19999999999993</v>
      </c>
      <c r="J219" s="8">
        <f t="shared" si="12"/>
        <v>79018</v>
      </c>
      <c r="K219" s="9">
        <f t="shared" si="13"/>
        <v>14.06</v>
      </c>
      <c r="L219" s="10">
        <f t="shared" si="14"/>
        <v>7.5455924549124018E-2</v>
      </c>
      <c r="M219" s="11">
        <f t="shared" si="15"/>
        <v>8.5</v>
      </c>
      <c r="N219">
        <f>F219/I219</f>
        <v>129.26020001932588</v>
      </c>
    </row>
    <row r="220" spans="1:14" x14ac:dyDescent="0.25">
      <c r="A220" t="s">
        <v>40</v>
      </c>
      <c r="B220">
        <v>546</v>
      </c>
      <c r="C220" t="s">
        <v>37</v>
      </c>
      <c r="D220" t="s">
        <v>49</v>
      </c>
      <c r="E220" t="s">
        <v>26</v>
      </c>
      <c r="F220" s="8">
        <v>58464.320732873559</v>
      </c>
      <c r="G220" s="8">
        <v>4118.4028062318184</v>
      </c>
      <c r="H220" s="12">
        <v>2999</v>
      </c>
      <c r="I220" s="12">
        <v>593.69000000000005</v>
      </c>
      <c r="J220" s="8">
        <f t="shared" si="12"/>
        <v>54346</v>
      </c>
      <c r="K220" s="9">
        <f t="shared" si="13"/>
        <v>18.12</v>
      </c>
      <c r="L220" s="10">
        <f t="shared" si="14"/>
        <v>7.0443011303406897E-2</v>
      </c>
      <c r="M220" s="11">
        <f t="shared" si="15"/>
        <v>5.0999999999999996</v>
      </c>
      <c r="N220">
        <f>F220/I220</f>
        <v>98.47617566890726</v>
      </c>
    </row>
    <row r="221" spans="1:14" x14ac:dyDescent="0.25">
      <c r="A221" t="s">
        <v>40</v>
      </c>
      <c r="B221">
        <v>804</v>
      </c>
      <c r="C221" t="s">
        <v>37</v>
      </c>
      <c r="D221" t="s">
        <v>49</v>
      </c>
      <c r="E221" t="s">
        <v>26</v>
      </c>
      <c r="F221" s="8">
        <v>46104.355747867237</v>
      </c>
      <c r="G221" s="8">
        <v>885.04339965789632</v>
      </c>
      <c r="H221" s="12">
        <v>945</v>
      </c>
      <c r="I221" s="12">
        <v>390.45100000000002</v>
      </c>
      <c r="J221" s="8">
        <f t="shared" si="12"/>
        <v>45219</v>
      </c>
      <c r="K221" s="9">
        <f t="shared" si="13"/>
        <v>47.85</v>
      </c>
      <c r="L221" s="10">
        <f t="shared" si="14"/>
        <v>1.9196524608173011E-2</v>
      </c>
      <c r="M221" s="11">
        <f t="shared" si="15"/>
        <v>2.4</v>
      </c>
      <c r="N221">
        <f>F221/I221</f>
        <v>118.07974815755942</v>
      </c>
    </row>
    <row r="222" spans="1:14" x14ac:dyDescent="0.25">
      <c r="A222" t="s">
        <v>40</v>
      </c>
      <c r="B222">
        <v>27</v>
      </c>
      <c r="C222" t="s">
        <v>36</v>
      </c>
      <c r="D222" t="s">
        <v>49</v>
      </c>
      <c r="E222" t="s">
        <v>7</v>
      </c>
      <c r="F222" s="8">
        <v>220574.12587956211</v>
      </c>
      <c r="G222" s="8">
        <v>5065.8754198908464</v>
      </c>
      <c r="H222" s="12">
        <v>6094</v>
      </c>
      <c r="I222" s="12">
        <v>2312.8999999999996</v>
      </c>
      <c r="J222" s="8">
        <f t="shared" si="12"/>
        <v>215508</v>
      </c>
      <c r="K222" s="9">
        <f t="shared" si="13"/>
        <v>35.36</v>
      </c>
      <c r="L222" s="10">
        <f t="shared" si="14"/>
        <v>2.2966770919708487E-2</v>
      </c>
      <c r="M222" s="11">
        <f t="shared" si="15"/>
        <v>2.6</v>
      </c>
      <c r="N222">
        <f>F222/I222</f>
        <v>95.366909887830062</v>
      </c>
    </row>
    <row r="223" spans="1:14" x14ac:dyDescent="0.25">
      <c r="A223" t="s">
        <v>40</v>
      </c>
      <c r="B223">
        <v>30</v>
      </c>
      <c r="C223" t="s">
        <v>36</v>
      </c>
      <c r="D223" t="s">
        <v>49</v>
      </c>
      <c r="E223" t="s">
        <v>7</v>
      </c>
      <c r="F223" s="8">
        <v>1162680.6403723189</v>
      </c>
      <c r="G223" s="8">
        <v>54501.88676951571</v>
      </c>
      <c r="H223" s="12">
        <v>61371</v>
      </c>
      <c r="I223" s="12">
        <v>9551.5</v>
      </c>
      <c r="J223" s="8">
        <f t="shared" si="12"/>
        <v>1108179</v>
      </c>
      <c r="K223" s="9">
        <f t="shared" si="13"/>
        <v>18.059999999999999</v>
      </c>
      <c r="L223" s="10">
        <f t="shared" si="14"/>
        <v>4.6876059407046519E-2</v>
      </c>
      <c r="M223" s="11">
        <f t="shared" si="15"/>
        <v>6.4</v>
      </c>
      <c r="N223">
        <f>F223/I223</f>
        <v>121.72754440373961</v>
      </c>
    </row>
    <row r="224" spans="1:14" x14ac:dyDescent="0.25">
      <c r="A224" t="s">
        <v>40</v>
      </c>
      <c r="B224">
        <v>33</v>
      </c>
      <c r="C224" t="s">
        <v>36</v>
      </c>
      <c r="D224" t="s">
        <v>49</v>
      </c>
      <c r="E224" t="s">
        <v>7</v>
      </c>
      <c r="F224" s="8">
        <v>89474.382969251034</v>
      </c>
      <c r="G224" s="8">
        <v>12110.953272928224</v>
      </c>
      <c r="H224" s="12">
        <v>11212</v>
      </c>
      <c r="I224" s="12">
        <v>787.6</v>
      </c>
      <c r="J224" s="8">
        <f t="shared" si="12"/>
        <v>77363</v>
      </c>
      <c r="K224" s="9">
        <f t="shared" si="13"/>
        <v>6.9</v>
      </c>
      <c r="L224" s="10">
        <f t="shared" si="14"/>
        <v>0.13535665596140853</v>
      </c>
      <c r="M224" s="11">
        <f t="shared" si="15"/>
        <v>14.2</v>
      </c>
      <c r="N224">
        <f>F224/I224</f>
        <v>113.60383820372147</v>
      </c>
    </row>
    <row r="225" spans="1:14" x14ac:dyDescent="0.25">
      <c r="A225" t="s">
        <v>40</v>
      </c>
      <c r="B225">
        <v>65</v>
      </c>
      <c r="C225" t="s">
        <v>36</v>
      </c>
      <c r="D225" t="s">
        <v>49</v>
      </c>
      <c r="E225" t="s">
        <v>7</v>
      </c>
      <c r="F225" s="8">
        <v>42830.652184887076</v>
      </c>
      <c r="G225" s="8">
        <v>5359.573415630347</v>
      </c>
      <c r="H225" s="12">
        <v>6878</v>
      </c>
      <c r="I225" s="12">
        <v>403.37</v>
      </c>
      <c r="J225" s="8">
        <f t="shared" si="12"/>
        <v>37471</v>
      </c>
      <c r="K225" s="9">
        <f t="shared" si="13"/>
        <v>5.45</v>
      </c>
      <c r="L225" s="10">
        <f t="shared" si="14"/>
        <v>0.12513406035693028</v>
      </c>
      <c r="M225" s="11">
        <f t="shared" si="15"/>
        <v>17.100000000000001</v>
      </c>
      <c r="N225">
        <f>F225/I225</f>
        <v>106.18204671861338</v>
      </c>
    </row>
    <row r="226" spans="1:14" x14ac:dyDescent="0.25">
      <c r="A226" t="s">
        <v>40</v>
      </c>
      <c r="B226">
        <v>80</v>
      </c>
      <c r="C226" t="s">
        <v>36</v>
      </c>
      <c r="D226" t="s">
        <v>49</v>
      </c>
      <c r="E226" t="s">
        <v>7</v>
      </c>
      <c r="F226" s="8">
        <v>395720.40379459743</v>
      </c>
      <c r="G226" s="8">
        <v>38286.88135257041</v>
      </c>
      <c r="H226" s="12">
        <v>46166</v>
      </c>
      <c r="I226" s="12">
        <v>3538.22</v>
      </c>
      <c r="J226" s="8">
        <f t="shared" si="12"/>
        <v>357434</v>
      </c>
      <c r="K226" s="9">
        <f t="shared" si="13"/>
        <v>7.74</v>
      </c>
      <c r="L226" s="10">
        <f t="shared" si="14"/>
        <v>9.6752355919568891E-2</v>
      </c>
      <c r="M226" s="11">
        <f t="shared" si="15"/>
        <v>13</v>
      </c>
      <c r="N226">
        <f>F226/I226</f>
        <v>111.84166156841503</v>
      </c>
    </row>
    <row r="227" spans="1:14" x14ac:dyDescent="0.25">
      <c r="A227" t="s">
        <v>40</v>
      </c>
      <c r="B227">
        <v>83</v>
      </c>
      <c r="C227" t="s">
        <v>36</v>
      </c>
      <c r="D227" t="s">
        <v>49</v>
      </c>
      <c r="E227" t="s">
        <v>7</v>
      </c>
      <c r="F227" s="8">
        <v>698018.65964080882</v>
      </c>
      <c r="G227" s="8">
        <v>49496.938636064282</v>
      </c>
      <c r="H227" s="12">
        <v>61444</v>
      </c>
      <c r="I227" s="12">
        <v>7369.0349999999999</v>
      </c>
      <c r="J227" s="8">
        <f t="shared" si="12"/>
        <v>648522</v>
      </c>
      <c r="K227" s="9">
        <f t="shared" si="13"/>
        <v>10.55</v>
      </c>
      <c r="L227" s="10">
        <f t="shared" si="14"/>
        <v>7.0910623881508775E-2</v>
      </c>
      <c r="M227" s="11">
        <f t="shared" si="15"/>
        <v>8.3000000000000007</v>
      </c>
      <c r="N227">
        <f>F227/I227</f>
        <v>94.723211335108175</v>
      </c>
    </row>
    <row r="228" spans="1:14" x14ac:dyDescent="0.25">
      <c r="A228" t="s">
        <v>40</v>
      </c>
      <c r="B228">
        <v>87</v>
      </c>
      <c r="C228" t="s">
        <v>36</v>
      </c>
      <c r="D228" t="s">
        <v>49</v>
      </c>
      <c r="E228" t="s">
        <v>7</v>
      </c>
      <c r="F228" s="8">
        <v>1112635.5868779833</v>
      </c>
      <c r="G228" s="8">
        <v>201986.90857389956</v>
      </c>
      <c r="H228" s="12">
        <v>132878</v>
      </c>
      <c r="I228" s="12">
        <v>10477.915000000001</v>
      </c>
      <c r="J228" s="8">
        <f t="shared" si="12"/>
        <v>910649</v>
      </c>
      <c r="K228" s="9">
        <f t="shared" si="13"/>
        <v>6.85</v>
      </c>
      <c r="L228" s="10">
        <f t="shared" si="14"/>
        <v>0.18153914089757617</v>
      </c>
      <c r="M228" s="11">
        <f t="shared" si="15"/>
        <v>12.7</v>
      </c>
      <c r="N228">
        <f>F228/I228</f>
        <v>106.18864410314296</v>
      </c>
    </row>
    <row r="229" spans="1:14" x14ac:dyDescent="0.25">
      <c r="A229" t="s">
        <v>40</v>
      </c>
      <c r="B229">
        <v>30</v>
      </c>
      <c r="C229" t="s">
        <v>36</v>
      </c>
      <c r="D229" t="s">
        <v>49</v>
      </c>
      <c r="E229" t="s">
        <v>15</v>
      </c>
      <c r="F229" s="8">
        <v>190712.3463097144</v>
      </c>
      <c r="G229" s="8">
        <v>6119.7286310063992</v>
      </c>
      <c r="H229" s="12">
        <v>6411</v>
      </c>
      <c r="I229" s="12">
        <v>1603.2</v>
      </c>
      <c r="J229" s="8">
        <f t="shared" si="12"/>
        <v>184593</v>
      </c>
      <c r="K229" s="9">
        <f t="shared" si="13"/>
        <v>28.79</v>
      </c>
      <c r="L229" s="10">
        <f t="shared" si="14"/>
        <v>3.2088791048000838E-2</v>
      </c>
      <c r="M229" s="11">
        <f t="shared" si="15"/>
        <v>4</v>
      </c>
      <c r="N229">
        <f>F229/I229</f>
        <v>118.95730183989171</v>
      </c>
    </row>
    <row r="230" spans="1:14" x14ac:dyDescent="0.25">
      <c r="A230" t="s">
        <v>40</v>
      </c>
      <c r="B230">
        <v>33</v>
      </c>
      <c r="C230" t="s">
        <v>36</v>
      </c>
      <c r="D230" t="s">
        <v>49</v>
      </c>
      <c r="E230" t="s">
        <v>15</v>
      </c>
      <c r="F230" s="8">
        <v>17444.483179451345</v>
      </c>
      <c r="G230" s="8">
        <v>593.89809799268085</v>
      </c>
      <c r="H230" s="12">
        <v>433</v>
      </c>
      <c r="I230" s="12">
        <v>123</v>
      </c>
      <c r="J230" s="8">
        <f t="shared" si="12"/>
        <v>16851</v>
      </c>
      <c r="K230" s="9">
        <f t="shared" si="13"/>
        <v>38.92</v>
      </c>
      <c r="L230" s="10">
        <f t="shared" si="14"/>
        <v>3.4045038301407551E-2</v>
      </c>
      <c r="M230" s="11">
        <f t="shared" si="15"/>
        <v>3.5</v>
      </c>
      <c r="N230">
        <f>F230/I230</f>
        <v>141.82506649960442</v>
      </c>
    </row>
    <row r="231" spans="1:14" x14ac:dyDescent="0.25">
      <c r="A231" t="s">
        <v>40</v>
      </c>
      <c r="B231">
        <v>65</v>
      </c>
      <c r="C231" t="s">
        <v>36</v>
      </c>
      <c r="D231" t="s">
        <v>49</v>
      </c>
      <c r="E231" t="s">
        <v>15</v>
      </c>
      <c r="F231" s="8">
        <v>10659.735553037568</v>
      </c>
      <c r="G231" s="8">
        <v>950.79465994323743</v>
      </c>
      <c r="H231" s="12">
        <v>1085</v>
      </c>
      <c r="I231" s="12">
        <v>103.62</v>
      </c>
      <c r="J231" s="8">
        <f t="shared" si="12"/>
        <v>9709</v>
      </c>
      <c r="K231" s="9">
        <f t="shared" si="13"/>
        <v>8.9499999999999993</v>
      </c>
      <c r="L231" s="10">
        <f t="shared" si="14"/>
        <v>8.9194957530846219E-2</v>
      </c>
      <c r="M231" s="11">
        <f t="shared" si="15"/>
        <v>10.5</v>
      </c>
      <c r="N231">
        <f>F231/I231</f>
        <v>102.87334060063277</v>
      </c>
    </row>
    <row r="232" spans="1:14" x14ac:dyDescent="0.25">
      <c r="A232" t="s">
        <v>40</v>
      </c>
      <c r="B232">
        <v>80</v>
      </c>
      <c r="C232" t="s">
        <v>36</v>
      </c>
      <c r="D232" t="s">
        <v>49</v>
      </c>
      <c r="E232" t="s">
        <v>15</v>
      </c>
      <c r="F232" s="8">
        <v>82616.136454290958</v>
      </c>
      <c r="G232" s="8">
        <v>5092.7363941822587</v>
      </c>
      <c r="H232" s="12">
        <v>5944</v>
      </c>
      <c r="I232" s="12">
        <v>732.40200000000004</v>
      </c>
      <c r="J232" s="8">
        <f t="shared" si="12"/>
        <v>77523</v>
      </c>
      <c r="K232" s="9">
        <f t="shared" si="13"/>
        <v>13.04</v>
      </c>
      <c r="L232" s="10">
        <f t="shared" si="14"/>
        <v>6.1643361850985581E-2</v>
      </c>
      <c r="M232" s="11">
        <f t="shared" si="15"/>
        <v>8.1</v>
      </c>
      <c r="N232">
        <f>F232/I232</f>
        <v>112.80162595718056</v>
      </c>
    </row>
    <row r="233" spans="1:14" x14ac:dyDescent="0.25">
      <c r="A233" t="s">
        <v>40</v>
      </c>
      <c r="B233">
        <v>83</v>
      </c>
      <c r="C233" t="s">
        <v>36</v>
      </c>
      <c r="D233" t="s">
        <v>49</v>
      </c>
      <c r="E233" t="s">
        <v>15</v>
      </c>
      <c r="F233" s="8">
        <v>122458.73460173952</v>
      </c>
      <c r="G233" s="8">
        <v>6627.6384614705676</v>
      </c>
      <c r="H233" s="12">
        <v>7190</v>
      </c>
      <c r="I233" s="12">
        <v>1223.5440000000001</v>
      </c>
      <c r="J233" s="8">
        <f t="shared" si="12"/>
        <v>115831</v>
      </c>
      <c r="K233" s="9">
        <f t="shared" si="13"/>
        <v>16.11</v>
      </c>
      <c r="L233" s="10">
        <f t="shared" si="14"/>
        <v>5.4121402471003666E-2</v>
      </c>
      <c r="M233" s="11">
        <f t="shared" si="15"/>
        <v>5.9</v>
      </c>
      <c r="N233">
        <f>F233/I233</f>
        <v>100.08527245586551</v>
      </c>
    </row>
    <row r="234" spans="1:14" x14ac:dyDescent="0.25">
      <c r="A234" t="s">
        <v>40</v>
      </c>
      <c r="B234">
        <v>87</v>
      </c>
      <c r="C234" t="s">
        <v>36</v>
      </c>
      <c r="D234" t="s">
        <v>49</v>
      </c>
      <c r="E234" t="s">
        <v>15</v>
      </c>
      <c r="F234" s="8">
        <v>246499.89016538585</v>
      </c>
      <c r="G234" s="8">
        <v>22393.711940435547</v>
      </c>
      <c r="H234" s="12">
        <v>18661</v>
      </c>
      <c r="I234" s="12">
        <v>2290.1</v>
      </c>
      <c r="J234" s="8">
        <f t="shared" si="12"/>
        <v>224106</v>
      </c>
      <c r="K234" s="9">
        <f t="shared" si="13"/>
        <v>12.01</v>
      </c>
      <c r="L234" s="10">
        <f t="shared" si="14"/>
        <v>9.0846742063092942E-2</v>
      </c>
      <c r="M234" s="11">
        <f t="shared" si="15"/>
        <v>8.1</v>
      </c>
      <c r="N234">
        <f>F234/I234</f>
        <v>107.63717312142957</v>
      </c>
    </row>
    <row r="235" spans="1:14" x14ac:dyDescent="0.25">
      <c r="A235" t="s">
        <v>40</v>
      </c>
      <c r="B235">
        <v>30</v>
      </c>
      <c r="C235" t="s">
        <v>36</v>
      </c>
      <c r="D235" t="s">
        <v>49</v>
      </c>
      <c r="E235" t="s">
        <v>26</v>
      </c>
      <c r="F235" s="8">
        <v>203323.33731831933</v>
      </c>
      <c r="G235" s="8">
        <v>5197.1686955976729</v>
      </c>
      <c r="H235" s="12">
        <v>6145</v>
      </c>
      <c r="I235" s="12">
        <v>1709.3</v>
      </c>
      <c r="J235" s="8">
        <f t="shared" si="12"/>
        <v>198126</v>
      </c>
      <c r="K235" s="9">
        <f t="shared" si="13"/>
        <v>32.24</v>
      </c>
      <c r="L235" s="10">
        <f t="shared" si="14"/>
        <v>2.556110264637787E-2</v>
      </c>
      <c r="M235" s="11">
        <f t="shared" si="15"/>
        <v>3.6</v>
      </c>
      <c r="N235">
        <f>F235/I235</f>
        <v>118.95122992939761</v>
      </c>
    </row>
    <row r="236" spans="1:14" x14ac:dyDescent="0.25">
      <c r="A236" t="s">
        <v>40</v>
      </c>
      <c r="B236">
        <v>65</v>
      </c>
      <c r="C236" t="s">
        <v>36</v>
      </c>
      <c r="D236" t="s">
        <v>49</v>
      </c>
      <c r="E236" t="s">
        <v>26</v>
      </c>
      <c r="F236" s="8">
        <v>7139.5438122670221</v>
      </c>
      <c r="G236" s="8">
        <v>438.40746939342887</v>
      </c>
      <c r="H236" s="12">
        <v>581</v>
      </c>
      <c r="I236" s="12">
        <v>67</v>
      </c>
      <c r="J236" s="8">
        <f t="shared" si="12"/>
        <v>6701</v>
      </c>
      <c r="K236" s="9">
        <f t="shared" si="13"/>
        <v>11.53</v>
      </c>
      <c r="L236" s="10">
        <f t="shared" si="14"/>
        <v>6.1405529669860119E-2</v>
      </c>
      <c r="M236" s="11">
        <f t="shared" si="15"/>
        <v>8.6999999999999993</v>
      </c>
      <c r="N236">
        <f>F236/I236</f>
        <v>106.56035540697047</v>
      </c>
    </row>
    <row r="237" spans="1:14" x14ac:dyDescent="0.25">
      <c r="A237" t="s">
        <v>40</v>
      </c>
      <c r="B237">
        <v>80</v>
      </c>
      <c r="C237" t="s">
        <v>36</v>
      </c>
      <c r="D237" t="s">
        <v>49</v>
      </c>
      <c r="E237" t="s">
        <v>26</v>
      </c>
      <c r="F237" s="8">
        <v>47192.498794905725</v>
      </c>
      <c r="G237" s="8">
        <v>3532.2792010824792</v>
      </c>
      <c r="H237" s="12">
        <v>3980</v>
      </c>
      <c r="I237" s="12">
        <v>417.81</v>
      </c>
      <c r="J237" s="8">
        <f t="shared" si="12"/>
        <v>43660</v>
      </c>
      <c r="K237" s="9">
        <f t="shared" si="13"/>
        <v>10.97</v>
      </c>
      <c r="L237" s="10">
        <f t="shared" si="14"/>
        <v>7.4848318933766173E-2</v>
      </c>
      <c r="M237" s="11">
        <f t="shared" si="15"/>
        <v>9.5</v>
      </c>
      <c r="N237">
        <f>F237/I237</f>
        <v>112.95205666428694</v>
      </c>
    </row>
    <row r="238" spans="1:14" x14ac:dyDescent="0.25">
      <c r="A238" t="s">
        <v>40</v>
      </c>
      <c r="B238">
        <v>83</v>
      </c>
      <c r="C238" t="s">
        <v>36</v>
      </c>
      <c r="D238" t="s">
        <v>49</v>
      </c>
      <c r="E238" t="s">
        <v>26</v>
      </c>
      <c r="F238" s="8">
        <v>131073.75699510315</v>
      </c>
      <c r="G238" s="8">
        <v>5863.0986598531936</v>
      </c>
      <c r="H238" s="12">
        <v>6685</v>
      </c>
      <c r="I238" s="12">
        <v>1299.03</v>
      </c>
      <c r="J238" s="8">
        <f t="shared" si="12"/>
        <v>125211</v>
      </c>
      <c r="K238" s="9">
        <f t="shared" si="13"/>
        <v>18.73</v>
      </c>
      <c r="L238" s="10">
        <f t="shared" si="14"/>
        <v>4.4731293237228534E-2</v>
      </c>
      <c r="M238" s="11">
        <f t="shared" si="15"/>
        <v>5.0999999999999996</v>
      </c>
      <c r="N238">
        <f>F238/I238</f>
        <v>100.90125477864495</v>
      </c>
    </row>
    <row r="239" spans="1:14" x14ac:dyDescent="0.25">
      <c r="A239" t="s">
        <v>40</v>
      </c>
      <c r="B239">
        <v>87</v>
      </c>
      <c r="C239" t="s">
        <v>36</v>
      </c>
      <c r="D239" t="s">
        <v>49</v>
      </c>
      <c r="E239" t="s">
        <v>26</v>
      </c>
      <c r="F239" s="8">
        <v>247689.38314689923</v>
      </c>
      <c r="G239" s="8">
        <v>15731.042282981056</v>
      </c>
      <c r="H239" s="12">
        <v>13845</v>
      </c>
      <c r="I239" s="12">
        <v>2315.7799999999997</v>
      </c>
      <c r="J239" s="8">
        <f t="shared" si="12"/>
        <v>231958</v>
      </c>
      <c r="K239" s="9">
        <f t="shared" si="13"/>
        <v>16.75</v>
      </c>
      <c r="L239" s="10">
        <f t="shared" si="14"/>
        <v>6.3511169042119633E-2</v>
      </c>
      <c r="M239" s="11">
        <f t="shared" si="15"/>
        <v>6</v>
      </c>
      <c r="N239">
        <f>F239/I239</f>
        <v>106.95721663841093</v>
      </c>
    </row>
    <row r="240" spans="1:14" x14ac:dyDescent="0.25">
      <c r="A240" t="s">
        <v>11</v>
      </c>
      <c r="B240">
        <v>410</v>
      </c>
      <c r="C240" t="s">
        <v>37</v>
      </c>
      <c r="E240" t="s">
        <v>15</v>
      </c>
      <c r="F240" s="162">
        <v>220141.18343392</v>
      </c>
      <c r="G240" s="163">
        <v>1537.88</v>
      </c>
      <c r="H240" s="1">
        <v>1974</v>
      </c>
      <c r="I240" s="29">
        <v>645.58000000000004</v>
      </c>
      <c r="J240" s="8">
        <f t="shared" ref="J240:J290" si="16">ROUND(F240-G240,0)</f>
        <v>218603</v>
      </c>
      <c r="K240" s="9">
        <f t="shared" ref="K240:K290" si="17">ROUND(J240/H240,2)</f>
        <v>110.74</v>
      </c>
      <c r="L240" s="10">
        <f t="shared" ref="L240:L290" si="18">+G240/F240</f>
        <v>6.985880497283813E-3</v>
      </c>
      <c r="M240" s="11">
        <f t="shared" ref="M240:M290" si="19">ROUND(H240/I240,1)</f>
        <v>3.1</v>
      </c>
    </row>
    <row r="241" spans="1:15" x14ac:dyDescent="0.25">
      <c r="A241" t="s">
        <v>11</v>
      </c>
      <c r="B241">
        <v>410</v>
      </c>
      <c r="C241" t="s">
        <v>37</v>
      </c>
      <c r="E241" t="s">
        <v>16</v>
      </c>
      <c r="F241" s="162">
        <v>231356.55420784</v>
      </c>
      <c r="G241" s="163">
        <v>1055.3599999999999</v>
      </c>
      <c r="H241" s="1">
        <v>1549</v>
      </c>
      <c r="I241" s="29">
        <v>714.86</v>
      </c>
      <c r="J241" s="8">
        <f t="shared" si="16"/>
        <v>230301</v>
      </c>
      <c r="K241" s="9">
        <f t="shared" si="17"/>
        <v>148.68</v>
      </c>
      <c r="L241" s="10">
        <f t="shared" si="18"/>
        <v>4.5616170400425027E-3</v>
      </c>
      <c r="M241" s="11">
        <f t="shared" si="19"/>
        <v>2.2000000000000002</v>
      </c>
    </row>
    <row r="242" spans="1:15" x14ac:dyDescent="0.25">
      <c r="A242" t="s">
        <v>11</v>
      </c>
      <c r="B242">
        <v>420</v>
      </c>
      <c r="C242" t="s">
        <v>37</v>
      </c>
      <c r="E242" t="s">
        <v>7</v>
      </c>
      <c r="F242" s="162">
        <v>627134.61201600009</v>
      </c>
      <c r="G242" s="163">
        <v>15287.7047</v>
      </c>
      <c r="H242" s="1">
        <v>7488</v>
      </c>
      <c r="I242" s="29">
        <v>2890.9600000000005</v>
      </c>
      <c r="J242" s="8">
        <f t="shared" si="16"/>
        <v>611847</v>
      </c>
      <c r="K242" s="9">
        <f t="shared" si="17"/>
        <v>81.709999999999994</v>
      </c>
      <c r="L242" s="10">
        <f t="shared" si="18"/>
        <v>2.4377070579561576E-2</v>
      </c>
      <c r="M242" s="11">
        <f t="shared" si="19"/>
        <v>2.6</v>
      </c>
    </row>
    <row r="243" spans="1:15" x14ac:dyDescent="0.25">
      <c r="A243" t="s">
        <v>11</v>
      </c>
      <c r="B243">
        <v>420</v>
      </c>
      <c r="C243" t="s">
        <v>37</v>
      </c>
      <c r="E243" t="s">
        <v>15</v>
      </c>
      <c r="F243" s="162">
        <v>207894.29216512002</v>
      </c>
      <c r="G243" s="163">
        <v>660.6893</v>
      </c>
      <c r="H243" s="1">
        <v>797</v>
      </c>
      <c r="I243" s="29">
        <v>542.1</v>
      </c>
      <c r="J243" s="8">
        <f t="shared" si="16"/>
        <v>207234</v>
      </c>
      <c r="K243" s="9">
        <f t="shared" si="17"/>
        <v>260.02</v>
      </c>
      <c r="L243" s="10">
        <f t="shared" si="18"/>
        <v>3.1780059621610373E-3</v>
      </c>
      <c r="M243" s="11">
        <f t="shared" si="19"/>
        <v>1.5</v>
      </c>
    </row>
    <row r="244" spans="1:15" x14ac:dyDescent="0.25">
      <c r="A244" t="s">
        <v>11</v>
      </c>
      <c r="B244">
        <v>420</v>
      </c>
      <c r="C244" t="s">
        <v>37</v>
      </c>
      <c r="E244" t="s">
        <v>16</v>
      </c>
      <c r="F244" s="162">
        <v>209457.67029343999</v>
      </c>
      <c r="G244" s="163">
        <v>477.9255</v>
      </c>
      <c r="H244" s="1">
        <v>581</v>
      </c>
      <c r="I244" s="29">
        <v>551.26</v>
      </c>
      <c r="J244" s="8">
        <f t="shared" si="16"/>
        <v>208980</v>
      </c>
      <c r="K244" s="9">
        <f t="shared" si="17"/>
        <v>359.69</v>
      </c>
      <c r="L244" s="10">
        <f t="shared" si="18"/>
        <v>2.2817283288334568E-3</v>
      </c>
      <c r="M244" s="11">
        <f t="shared" si="19"/>
        <v>1.1000000000000001</v>
      </c>
    </row>
    <row r="245" spans="1:15" x14ac:dyDescent="0.25">
      <c r="A245" t="s">
        <v>11</v>
      </c>
      <c r="B245">
        <v>425</v>
      </c>
      <c r="C245" t="s">
        <v>37</v>
      </c>
      <c r="E245" t="s">
        <v>7</v>
      </c>
      <c r="F245" s="162">
        <v>1016351.63477504</v>
      </c>
      <c r="G245" s="163">
        <v>17284.629999999997</v>
      </c>
      <c r="H245" s="1">
        <v>9452</v>
      </c>
      <c r="I245" s="29">
        <v>5993.0999999999985</v>
      </c>
      <c r="J245" s="8">
        <f t="shared" si="16"/>
        <v>999067</v>
      </c>
      <c r="K245" s="9">
        <f t="shared" si="17"/>
        <v>105.7</v>
      </c>
      <c r="L245" s="10">
        <f t="shared" si="18"/>
        <v>1.7006545184360126E-2</v>
      </c>
      <c r="M245" s="11">
        <f t="shared" si="19"/>
        <v>1.6</v>
      </c>
    </row>
    <row r="246" spans="1:15" x14ac:dyDescent="0.25">
      <c r="A246" t="s">
        <v>11</v>
      </c>
      <c r="B246">
        <v>436</v>
      </c>
      <c r="C246" t="s">
        <v>37</v>
      </c>
      <c r="E246" t="s">
        <v>7</v>
      </c>
      <c r="F246" s="162">
        <v>825161.51301280002</v>
      </c>
      <c r="G246" s="163">
        <v>19093.1931</v>
      </c>
      <c r="H246" s="1">
        <v>7852</v>
      </c>
      <c r="I246" s="29">
        <v>3154.9899999999993</v>
      </c>
      <c r="J246" s="8">
        <f t="shared" si="16"/>
        <v>806068</v>
      </c>
      <c r="K246" s="9">
        <f t="shared" si="17"/>
        <v>102.66</v>
      </c>
      <c r="L246" s="10">
        <f t="shared" si="18"/>
        <v>2.3138734416111605E-2</v>
      </c>
      <c r="M246" s="11">
        <f t="shared" si="19"/>
        <v>2.5</v>
      </c>
    </row>
    <row r="247" spans="1:15" x14ac:dyDescent="0.25">
      <c r="A247" t="s">
        <v>11</v>
      </c>
      <c r="B247">
        <v>440</v>
      </c>
      <c r="C247" t="s">
        <v>37</v>
      </c>
      <c r="E247" t="s">
        <v>7</v>
      </c>
      <c r="F247" s="162">
        <v>903565.25401631999</v>
      </c>
      <c r="G247" s="163">
        <v>32160.788100000002</v>
      </c>
      <c r="H247" s="1">
        <v>17675</v>
      </c>
      <c r="I247" s="29">
        <v>4928.91</v>
      </c>
      <c r="J247" s="8">
        <f t="shared" si="16"/>
        <v>871404</v>
      </c>
      <c r="K247" s="9">
        <f t="shared" si="17"/>
        <v>49.3</v>
      </c>
      <c r="L247" s="10">
        <f t="shared" si="18"/>
        <v>3.5593210293386426E-2</v>
      </c>
      <c r="M247" s="11">
        <f t="shared" si="19"/>
        <v>3.6</v>
      </c>
    </row>
    <row r="248" spans="1:15" x14ac:dyDescent="0.25">
      <c r="A248" t="s">
        <v>11</v>
      </c>
      <c r="B248">
        <v>440</v>
      </c>
      <c r="C248" t="s">
        <v>37</v>
      </c>
      <c r="E248" t="s">
        <v>15</v>
      </c>
      <c r="F248" s="162">
        <v>246244.70457151998</v>
      </c>
      <c r="G248" s="163">
        <v>1383.412</v>
      </c>
      <c r="H248" s="1">
        <v>1541</v>
      </c>
      <c r="I248" s="29">
        <v>776.61000000000013</v>
      </c>
      <c r="J248" s="8">
        <f t="shared" si="16"/>
        <v>244861</v>
      </c>
      <c r="K248" s="9">
        <f t="shared" si="17"/>
        <v>158.9</v>
      </c>
      <c r="L248" s="10">
        <f t="shared" si="18"/>
        <v>5.6180375631111213E-3</v>
      </c>
      <c r="M248" s="11">
        <f t="shared" si="19"/>
        <v>2</v>
      </c>
    </row>
    <row r="249" spans="1:15" x14ac:dyDescent="0.25">
      <c r="A249" t="s">
        <v>11</v>
      </c>
      <c r="B249">
        <v>440</v>
      </c>
      <c r="C249" t="s">
        <v>37</v>
      </c>
      <c r="E249" t="s">
        <v>16</v>
      </c>
      <c r="F249" s="162">
        <v>247917.54492464001</v>
      </c>
      <c r="G249" s="163">
        <v>1138.6424999999999</v>
      </c>
      <c r="H249" s="1">
        <v>1236</v>
      </c>
      <c r="I249" s="29">
        <v>790.98000000000013</v>
      </c>
      <c r="J249" s="8">
        <f t="shared" si="16"/>
        <v>246779</v>
      </c>
      <c r="K249" s="9">
        <f t="shared" si="17"/>
        <v>199.66</v>
      </c>
      <c r="L249" s="10">
        <f t="shared" si="18"/>
        <v>4.5928274271436311E-3</v>
      </c>
      <c r="M249" s="11">
        <f t="shared" si="19"/>
        <v>1.6</v>
      </c>
    </row>
    <row r="250" spans="1:15" ht="15" customHeight="1" x14ac:dyDescent="0.25">
      <c r="A250" t="s">
        <v>11</v>
      </c>
      <c r="B250">
        <v>442</v>
      </c>
      <c r="C250" t="s">
        <v>37</v>
      </c>
      <c r="E250" t="s">
        <v>7</v>
      </c>
      <c r="F250" s="162">
        <v>1516017.0910598401</v>
      </c>
      <c r="G250" s="163">
        <v>32546.7624</v>
      </c>
      <c r="H250" s="1">
        <v>27442</v>
      </c>
      <c r="I250" s="29">
        <v>8325.31</v>
      </c>
      <c r="J250" s="8">
        <f t="shared" si="16"/>
        <v>1483470</v>
      </c>
      <c r="K250" s="9">
        <f t="shared" si="17"/>
        <v>54.06</v>
      </c>
      <c r="L250" s="10">
        <f t="shared" si="18"/>
        <v>2.1468598600855298E-2</v>
      </c>
      <c r="M250" s="11">
        <f t="shared" si="19"/>
        <v>3.3</v>
      </c>
    </row>
    <row r="251" spans="1:15" ht="15" customHeight="1" x14ac:dyDescent="0.25">
      <c r="A251" t="s">
        <v>11</v>
      </c>
      <c r="B251">
        <v>442</v>
      </c>
      <c r="C251" t="s">
        <v>37</v>
      </c>
      <c r="E251" t="s">
        <v>15</v>
      </c>
      <c r="F251" s="162">
        <v>316067.43829424004</v>
      </c>
      <c r="G251" s="163">
        <v>10500.697</v>
      </c>
      <c r="H251" s="1">
        <v>4081</v>
      </c>
      <c r="I251" s="29">
        <v>1246.31</v>
      </c>
      <c r="J251" s="8">
        <f t="shared" si="16"/>
        <v>305567</v>
      </c>
      <c r="K251" s="9">
        <f t="shared" si="17"/>
        <v>74.88</v>
      </c>
      <c r="L251" s="10">
        <f t="shared" si="18"/>
        <v>3.3222963607609825E-2</v>
      </c>
      <c r="M251" s="11">
        <f t="shared" si="19"/>
        <v>3.3</v>
      </c>
    </row>
    <row r="252" spans="1:15" x14ac:dyDescent="0.25">
      <c r="A252" t="s">
        <v>11</v>
      </c>
      <c r="B252">
        <v>442</v>
      </c>
      <c r="C252" t="s">
        <v>37</v>
      </c>
      <c r="E252" t="s">
        <v>16</v>
      </c>
      <c r="F252" s="162">
        <v>319875.43592640001</v>
      </c>
      <c r="G252" s="163">
        <v>2614.8798000000002</v>
      </c>
      <c r="H252" s="1">
        <v>3116</v>
      </c>
      <c r="I252" s="29">
        <v>1269.4800000000002</v>
      </c>
      <c r="J252" s="8">
        <f t="shared" si="16"/>
        <v>317261</v>
      </c>
      <c r="K252" s="9">
        <f t="shared" si="17"/>
        <v>101.82</v>
      </c>
      <c r="L252" s="10">
        <f t="shared" si="18"/>
        <v>8.1746814738273832E-3</v>
      </c>
      <c r="M252" s="11">
        <f t="shared" si="19"/>
        <v>2.5</v>
      </c>
    </row>
    <row r="253" spans="1:15" x14ac:dyDescent="0.25">
      <c r="A253" t="s">
        <v>11</v>
      </c>
      <c r="B253">
        <v>444</v>
      </c>
      <c r="C253" t="s">
        <v>37</v>
      </c>
      <c r="E253" t="s">
        <v>7</v>
      </c>
      <c r="F253" s="162">
        <v>2306413.09122528</v>
      </c>
      <c r="G253" s="163">
        <v>157904.46090000001</v>
      </c>
      <c r="H253" s="1">
        <v>109492</v>
      </c>
      <c r="I253" s="29">
        <v>13734.840000000004</v>
      </c>
      <c r="J253" s="8">
        <f t="shared" si="16"/>
        <v>2148509</v>
      </c>
      <c r="K253" s="9">
        <f t="shared" si="17"/>
        <v>19.62</v>
      </c>
      <c r="L253" s="10">
        <f t="shared" si="18"/>
        <v>6.8463217409208077E-2</v>
      </c>
      <c r="M253" s="11">
        <f t="shared" si="19"/>
        <v>8</v>
      </c>
    </row>
    <row r="254" spans="1:15" x14ac:dyDescent="0.25">
      <c r="A254" t="s">
        <v>11</v>
      </c>
      <c r="B254">
        <v>444</v>
      </c>
      <c r="C254" t="s">
        <v>37</v>
      </c>
      <c r="E254" t="s">
        <v>15</v>
      </c>
      <c r="F254" s="162">
        <v>358880.04609983996</v>
      </c>
      <c r="G254" s="163">
        <v>29251.6044</v>
      </c>
      <c r="H254" s="1">
        <v>15596</v>
      </c>
      <c r="I254" s="30">
        <v>1409.4999999999995</v>
      </c>
      <c r="J254" s="8">
        <f t="shared" si="16"/>
        <v>329628</v>
      </c>
      <c r="K254" s="9">
        <f t="shared" si="17"/>
        <v>21.14</v>
      </c>
      <c r="L254" s="10">
        <f t="shared" si="18"/>
        <v>8.1508026756835189E-2</v>
      </c>
      <c r="M254" s="11">
        <f t="shared" si="19"/>
        <v>11.1</v>
      </c>
    </row>
    <row r="255" spans="1:15" x14ac:dyDescent="0.25">
      <c r="A255" t="s">
        <v>11</v>
      </c>
      <c r="B255">
        <v>444</v>
      </c>
      <c r="C255" t="s">
        <v>37</v>
      </c>
      <c r="E255" t="s">
        <v>16</v>
      </c>
      <c r="F255" s="162">
        <v>355154.467084</v>
      </c>
      <c r="G255" s="163">
        <v>19286.555800000002</v>
      </c>
      <c r="H255" s="1">
        <v>12432</v>
      </c>
      <c r="I255" s="30">
        <v>1387.3899999999999</v>
      </c>
      <c r="J255" s="8">
        <f t="shared" si="16"/>
        <v>335868</v>
      </c>
      <c r="K255" s="9">
        <f t="shared" si="17"/>
        <v>27.02</v>
      </c>
      <c r="L255" s="10">
        <f t="shared" si="18"/>
        <v>5.4304697216263388E-2</v>
      </c>
      <c r="M255" s="11">
        <f t="shared" si="19"/>
        <v>9</v>
      </c>
      <c r="O255" s="31"/>
    </row>
    <row r="256" spans="1:15" x14ac:dyDescent="0.25">
      <c r="A256" t="s">
        <v>11</v>
      </c>
      <c r="B256">
        <v>445</v>
      </c>
      <c r="C256" t="s">
        <v>37</v>
      </c>
      <c r="E256" t="s">
        <v>7</v>
      </c>
      <c r="F256" s="162">
        <v>1003674.20323104</v>
      </c>
      <c r="G256" s="163">
        <v>35389.074399999998</v>
      </c>
      <c r="H256" s="1">
        <v>25904</v>
      </c>
      <c r="I256" s="30">
        <v>5780.75</v>
      </c>
      <c r="J256" s="8">
        <f t="shared" si="16"/>
        <v>968285</v>
      </c>
      <c r="K256" s="9">
        <f t="shared" si="17"/>
        <v>37.380000000000003</v>
      </c>
      <c r="L256" s="10">
        <f t="shared" si="18"/>
        <v>3.5259523743935095E-2</v>
      </c>
      <c r="M256" s="11">
        <f t="shared" si="19"/>
        <v>4.5</v>
      </c>
    </row>
    <row r="257" spans="1:15" x14ac:dyDescent="0.25">
      <c r="A257" t="s">
        <v>11</v>
      </c>
      <c r="B257">
        <v>445</v>
      </c>
      <c r="C257" t="s">
        <v>37</v>
      </c>
      <c r="E257" t="s">
        <v>15</v>
      </c>
      <c r="F257" s="162">
        <v>237316.45040048001</v>
      </c>
      <c r="G257" s="163">
        <v>3529.8101999999999</v>
      </c>
      <c r="H257" s="1">
        <v>3889</v>
      </c>
      <c r="I257" s="29">
        <v>792.81</v>
      </c>
      <c r="J257" s="8">
        <f t="shared" si="16"/>
        <v>233787</v>
      </c>
      <c r="K257" s="9">
        <f t="shared" si="17"/>
        <v>60.11</v>
      </c>
      <c r="L257" s="10">
        <f t="shared" si="18"/>
        <v>1.487385385228592E-2</v>
      </c>
      <c r="M257" s="11">
        <f t="shared" si="19"/>
        <v>4.9000000000000004</v>
      </c>
    </row>
    <row r="258" spans="1:15" x14ac:dyDescent="0.25">
      <c r="A258" t="s">
        <v>11</v>
      </c>
      <c r="B258">
        <v>445</v>
      </c>
      <c r="C258" t="s">
        <v>37</v>
      </c>
      <c r="E258" t="s">
        <v>16</v>
      </c>
      <c r="F258" s="162">
        <v>238959.67156336</v>
      </c>
      <c r="G258" s="163">
        <v>10313.704099999999</v>
      </c>
      <c r="H258" s="1">
        <v>3286</v>
      </c>
      <c r="I258" s="29">
        <v>807.48</v>
      </c>
      <c r="J258" s="8">
        <f t="shared" si="16"/>
        <v>228646</v>
      </c>
      <c r="K258" s="9">
        <f t="shared" si="17"/>
        <v>69.58</v>
      </c>
      <c r="L258" s="10">
        <f t="shared" si="18"/>
        <v>4.3160856526643358E-2</v>
      </c>
      <c r="M258" s="11">
        <f t="shared" si="19"/>
        <v>4.0999999999999996</v>
      </c>
    </row>
    <row r="259" spans="1:15" x14ac:dyDescent="0.25">
      <c r="A259" t="s">
        <v>11</v>
      </c>
      <c r="B259">
        <v>446</v>
      </c>
      <c r="C259" t="s">
        <v>37</v>
      </c>
      <c r="E259" t="s">
        <v>7</v>
      </c>
      <c r="F259" s="162">
        <v>1264353.5129462399</v>
      </c>
      <c r="G259" s="163">
        <v>46925.385399999999</v>
      </c>
      <c r="H259" s="1">
        <v>29969</v>
      </c>
      <c r="I259" s="29">
        <v>6834.4400000000005</v>
      </c>
      <c r="J259" s="8">
        <f t="shared" si="16"/>
        <v>1217428</v>
      </c>
      <c r="K259" s="9">
        <f t="shared" si="17"/>
        <v>40.619999999999997</v>
      </c>
      <c r="L259" s="10">
        <f t="shared" si="18"/>
        <v>3.7114133760464553E-2</v>
      </c>
      <c r="M259" s="11">
        <f t="shared" si="19"/>
        <v>4.4000000000000004</v>
      </c>
      <c r="O259" s="31"/>
    </row>
    <row r="260" spans="1:15" x14ac:dyDescent="0.25">
      <c r="A260" t="s">
        <v>11</v>
      </c>
      <c r="B260">
        <v>446</v>
      </c>
      <c r="C260" t="s">
        <v>37</v>
      </c>
      <c r="E260" t="s">
        <v>15</v>
      </c>
      <c r="F260" s="162">
        <v>194242.42104623999</v>
      </c>
      <c r="G260" s="163">
        <v>5709.9399000000003</v>
      </c>
      <c r="H260" s="1">
        <v>1665</v>
      </c>
      <c r="I260" s="29">
        <v>393.36000000000007</v>
      </c>
      <c r="J260" s="8">
        <f t="shared" si="16"/>
        <v>188532</v>
      </c>
      <c r="K260" s="9">
        <f t="shared" si="17"/>
        <v>113.23</v>
      </c>
      <c r="L260" s="10">
        <f t="shared" si="18"/>
        <v>2.9395946926756705E-2</v>
      </c>
      <c r="M260" s="11">
        <f t="shared" si="19"/>
        <v>4.2</v>
      </c>
    </row>
    <row r="261" spans="1:15" x14ac:dyDescent="0.25">
      <c r="A261" t="s">
        <v>11</v>
      </c>
      <c r="B261">
        <v>446</v>
      </c>
      <c r="C261" t="s">
        <v>37</v>
      </c>
      <c r="E261" t="s">
        <v>16</v>
      </c>
      <c r="F261" s="162">
        <v>196662.18010976</v>
      </c>
      <c r="G261" s="163">
        <v>7650.866</v>
      </c>
      <c r="H261" s="1">
        <v>1396</v>
      </c>
      <c r="I261" s="29">
        <v>405.28000000000003</v>
      </c>
      <c r="J261" s="8">
        <f t="shared" si="16"/>
        <v>189011</v>
      </c>
      <c r="K261" s="9">
        <f t="shared" si="17"/>
        <v>135.38999999999999</v>
      </c>
      <c r="L261" s="10">
        <f t="shared" si="18"/>
        <v>3.8903595982358895E-2</v>
      </c>
      <c r="M261" s="11">
        <f t="shared" si="19"/>
        <v>3.4</v>
      </c>
    </row>
    <row r="262" spans="1:15" x14ac:dyDescent="0.25">
      <c r="A262" t="s">
        <v>11</v>
      </c>
      <c r="B262">
        <v>447</v>
      </c>
      <c r="C262" t="s">
        <v>37</v>
      </c>
      <c r="E262" t="s">
        <v>7</v>
      </c>
      <c r="F262" s="162">
        <v>1118375.74942016</v>
      </c>
      <c r="G262" s="163">
        <v>27869.448100000001</v>
      </c>
      <c r="H262" s="1">
        <v>13284</v>
      </c>
      <c r="I262" s="29">
        <v>6345.71</v>
      </c>
      <c r="J262" s="8">
        <f t="shared" si="16"/>
        <v>1090506</v>
      </c>
      <c r="K262" s="9">
        <f t="shared" si="17"/>
        <v>82.09</v>
      </c>
      <c r="L262" s="10">
        <f t="shared" si="18"/>
        <v>2.4919574762283042E-2</v>
      </c>
      <c r="M262" s="11">
        <f t="shared" si="19"/>
        <v>2.1</v>
      </c>
      <c r="O262" s="31"/>
    </row>
    <row r="263" spans="1:15" x14ac:dyDescent="0.25">
      <c r="A263" t="s">
        <v>11</v>
      </c>
      <c r="B263">
        <v>447</v>
      </c>
      <c r="C263" t="s">
        <v>37</v>
      </c>
      <c r="E263" t="s">
        <v>15</v>
      </c>
      <c r="F263" s="162">
        <v>344293.23880208004</v>
      </c>
      <c r="G263" s="163">
        <v>1916.1735000000001</v>
      </c>
      <c r="H263" s="1">
        <v>2322</v>
      </c>
      <c r="I263" s="29">
        <v>1354.4099999999999</v>
      </c>
      <c r="J263" s="8">
        <f t="shared" si="16"/>
        <v>342377</v>
      </c>
      <c r="K263" s="9">
        <f t="shared" si="17"/>
        <v>147.44999999999999</v>
      </c>
      <c r="L263" s="10">
        <f t="shared" si="18"/>
        <v>5.5655275330618072E-3</v>
      </c>
      <c r="M263" s="11">
        <f t="shared" si="19"/>
        <v>1.7</v>
      </c>
    </row>
    <row r="264" spans="1:15" ht="15" customHeight="1" x14ac:dyDescent="0.25">
      <c r="A264" t="s">
        <v>11</v>
      </c>
      <c r="B264">
        <v>447</v>
      </c>
      <c r="C264" t="s">
        <v>37</v>
      </c>
      <c r="E264" t="s">
        <v>16</v>
      </c>
      <c r="F264" s="162">
        <v>348473.40799856</v>
      </c>
      <c r="G264" s="163">
        <v>1948.3305</v>
      </c>
      <c r="H264" s="1">
        <v>2003</v>
      </c>
      <c r="I264" s="29">
        <v>1379.4799999999998</v>
      </c>
      <c r="J264" s="8">
        <f t="shared" si="16"/>
        <v>346525</v>
      </c>
      <c r="K264" s="9">
        <f t="shared" si="17"/>
        <v>173</v>
      </c>
      <c r="L264" s="10">
        <f t="shared" si="18"/>
        <v>5.5910449844369502E-3</v>
      </c>
      <c r="M264" s="11">
        <f t="shared" si="19"/>
        <v>1.5</v>
      </c>
    </row>
    <row r="265" spans="1:15" ht="15" customHeight="1" x14ac:dyDescent="0.25">
      <c r="A265" t="s">
        <v>11</v>
      </c>
      <c r="B265">
        <v>460</v>
      </c>
      <c r="C265" t="s">
        <v>13</v>
      </c>
      <c r="E265" t="s">
        <v>7</v>
      </c>
      <c r="F265" s="162">
        <v>1520371.38227424</v>
      </c>
      <c r="G265" s="163">
        <v>203776.1721</v>
      </c>
      <c r="H265" s="1">
        <v>81035</v>
      </c>
      <c r="I265" s="29">
        <v>4882.33</v>
      </c>
      <c r="J265" s="8">
        <f t="shared" si="16"/>
        <v>1316595</v>
      </c>
      <c r="K265" s="9">
        <f t="shared" si="17"/>
        <v>16.25</v>
      </c>
      <c r="L265" s="10">
        <f t="shared" si="18"/>
        <v>0.1340305233811902</v>
      </c>
      <c r="M265" s="11">
        <f t="shared" si="19"/>
        <v>16.600000000000001</v>
      </c>
    </row>
    <row r="266" spans="1:15" ht="15" customHeight="1" x14ac:dyDescent="0.25">
      <c r="A266" t="s">
        <v>11</v>
      </c>
      <c r="B266">
        <v>465</v>
      </c>
      <c r="C266" t="s">
        <v>13</v>
      </c>
      <c r="E266" t="s">
        <v>7</v>
      </c>
      <c r="F266" s="162">
        <v>1999401.2321731199</v>
      </c>
      <c r="G266" s="163">
        <v>233644.72010000001</v>
      </c>
      <c r="H266" s="1">
        <v>102176</v>
      </c>
      <c r="I266" s="29">
        <v>9255.2099999999991</v>
      </c>
      <c r="J266" s="8">
        <f t="shared" si="16"/>
        <v>1765757</v>
      </c>
      <c r="K266" s="9">
        <f t="shared" si="17"/>
        <v>17.28</v>
      </c>
      <c r="L266" s="10">
        <f t="shared" si="18"/>
        <v>0.11685734525933796</v>
      </c>
      <c r="M266" s="11">
        <f t="shared" si="19"/>
        <v>11</v>
      </c>
    </row>
    <row r="267" spans="1:15" ht="15" customHeight="1" x14ac:dyDescent="0.25">
      <c r="A267" t="s">
        <v>11</v>
      </c>
      <c r="B267">
        <v>470</v>
      </c>
      <c r="C267" t="s">
        <v>13</v>
      </c>
      <c r="E267" t="s">
        <v>7</v>
      </c>
      <c r="F267" s="162">
        <v>677687.7523392</v>
      </c>
      <c r="G267" s="163">
        <v>58793.065300000002</v>
      </c>
      <c r="H267" s="1">
        <v>21336</v>
      </c>
      <c r="I267" s="29">
        <v>2251.7000000000003</v>
      </c>
      <c r="J267" s="8">
        <f t="shared" si="16"/>
        <v>618895</v>
      </c>
      <c r="K267" s="9">
        <f t="shared" si="17"/>
        <v>29.01</v>
      </c>
      <c r="L267" s="10">
        <f t="shared" si="18"/>
        <v>8.6755390070223037E-2</v>
      </c>
      <c r="M267" s="11">
        <f t="shared" si="19"/>
        <v>9.5</v>
      </c>
      <c r="O267" s="31"/>
    </row>
    <row r="268" spans="1:15" ht="15" customHeight="1" x14ac:dyDescent="0.25">
      <c r="A268" t="s">
        <v>11</v>
      </c>
      <c r="B268">
        <v>472</v>
      </c>
      <c r="C268" t="s">
        <v>13</v>
      </c>
      <c r="E268" t="s">
        <v>7</v>
      </c>
      <c r="F268" s="162">
        <v>449506.02961279999</v>
      </c>
      <c r="G268" s="163">
        <v>36924.438900000001</v>
      </c>
      <c r="H268" s="1">
        <v>11453</v>
      </c>
      <c r="I268" s="29">
        <v>1457.56</v>
      </c>
      <c r="J268" s="8">
        <f t="shared" si="16"/>
        <v>412582</v>
      </c>
      <c r="K268" s="9">
        <f t="shared" si="17"/>
        <v>36.020000000000003</v>
      </c>
      <c r="L268" s="10">
        <f t="shared" si="18"/>
        <v>8.2144479645370597E-2</v>
      </c>
      <c r="M268" s="11">
        <f t="shared" si="19"/>
        <v>7.9</v>
      </c>
      <c r="O268" s="31"/>
    </row>
    <row r="269" spans="1:15" ht="15" customHeight="1" x14ac:dyDescent="0.25">
      <c r="A269" t="s">
        <v>11</v>
      </c>
      <c r="B269">
        <v>475</v>
      </c>
      <c r="C269" t="s">
        <v>13</v>
      </c>
      <c r="E269" t="s">
        <v>7</v>
      </c>
      <c r="F269" s="162">
        <v>958959.30620415998</v>
      </c>
      <c r="G269" s="163">
        <v>92208.223299999998</v>
      </c>
      <c r="H269" s="1">
        <v>39933</v>
      </c>
      <c r="I269" s="29">
        <v>3811.7399999999993</v>
      </c>
      <c r="J269" s="8">
        <f t="shared" si="16"/>
        <v>866751</v>
      </c>
      <c r="K269" s="9">
        <f t="shared" si="17"/>
        <v>21.71</v>
      </c>
      <c r="L269" s="10">
        <f t="shared" si="18"/>
        <v>9.6154469437276735E-2</v>
      </c>
      <c r="M269" s="11">
        <f t="shared" si="19"/>
        <v>10.5</v>
      </c>
    </row>
    <row r="270" spans="1:15" ht="15" customHeight="1" x14ac:dyDescent="0.25">
      <c r="A270" t="s">
        <v>11</v>
      </c>
      <c r="B270">
        <v>476</v>
      </c>
      <c r="C270" t="s">
        <v>13</v>
      </c>
      <c r="E270" t="s">
        <v>7</v>
      </c>
      <c r="F270" s="162">
        <v>153341.95663999999</v>
      </c>
      <c r="G270" s="163">
        <v>1065.96</v>
      </c>
      <c r="H270" s="1">
        <v>339</v>
      </c>
      <c r="I270" s="29">
        <v>155</v>
      </c>
      <c r="J270" s="8">
        <f t="shared" si="16"/>
        <v>152276</v>
      </c>
      <c r="K270" s="9">
        <f t="shared" si="17"/>
        <v>449.19</v>
      </c>
      <c r="L270" s="10">
        <f t="shared" si="18"/>
        <v>6.9515220971292811E-3</v>
      </c>
      <c r="M270" s="11">
        <f t="shared" si="19"/>
        <v>2.2000000000000002</v>
      </c>
      <c r="O270" s="31"/>
    </row>
    <row r="271" spans="1:15" ht="15" customHeight="1" x14ac:dyDescent="0.25">
      <c r="A271" t="s">
        <v>11</v>
      </c>
      <c r="B271">
        <v>477</v>
      </c>
      <c r="C271" t="s">
        <v>13</v>
      </c>
      <c r="E271" t="s">
        <v>7</v>
      </c>
      <c r="F271" s="162">
        <v>1338993.1709497599</v>
      </c>
      <c r="G271" s="163">
        <v>225334.95989999999</v>
      </c>
      <c r="H271" s="1">
        <v>86820</v>
      </c>
      <c r="I271" s="29">
        <v>5594.55</v>
      </c>
      <c r="J271" s="8">
        <f t="shared" si="16"/>
        <v>1113658</v>
      </c>
      <c r="K271" s="9">
        <f t="shared" si="17"/>
        <v>12.83</v>
      </c>
      <c r="L271" s="10">
        <f t="shared" si="18"/>
        <v>0.16828686268815538</v>
      </c>
      <c r="M271" s="11">
        <f t="shared" si="19"/>
        <v>15.5</v>
      </c>
    </row>
    <row r="272" spans="1:15" ht="15" customHeight="1" x14ac:dyDescent="0.25">
      <c r="A272" t="s">
        <v>11</v>
      </c>
      <c r="B272">
        <v>478</v>
      </c>
      <c r="C272" t="s">
        <v>13</v>
      </c>
      <c r="E272" t="s">
        <v>7</v>
      </c>
      <c r="F272" s="162">
        <v>154546.4632</v>
      </c>
      <c r="G272" s="163">
        <v>847.13</v>
      </c>
      <c r="H272" s="1">
        <v>268</v>
      </c>
      <c r="I272" s="29">
        <v>169.99999999999997</v>
      </c>
      <c r="J272" s="8">
        <f t="shared" si="16"/>
        <v>153699</v>
      </c>
      <c r="K272" s="9">
        <f t="shared" si="17"/>
        <v>573.5</v>
      </c>
      <c r="L272" s="10">
        <f t="shared" si="18"/>
        <v>5.4813936369654823E-3</v>
      </c>
      <c r="M272" s="11">
        <f t="shared" si="19"/>
        <v>1.6</v>
      </c>
    </row>
    <row r="273" spans="1:15" ht="15" customHeight="1" x14ac:dyDescent="0.25">
      <c r="A273" t="s">
        <v>11</v>
      </c>
      <c r="B273">
        <v>479</v>
      </c>
      <c r="C273" t="s">
        <v>13</v>
      </c>
      <c r="E273" t="s">
        <v>7</v>
      </c>
      <c r="F273" s="162">
        <v>227249.27465504</v>
      </c>
      <c r="G273" s="163">
        <v>2135.4209000000001</v>
      </c>
      <c r="H273" s="1">
        <v>860</v>
      </c>
      <c r="I273" s="29">
        <v>454.40999999999997</v>
      </c>
      <c r="J273" s="8">
        <f t="shared" si="16"/>
        <v>225114</v>
      </c>
      <c r="K273" s="9">
        <f t="shared" si="17"/>
        <v>261.76</v>
      </c>
      <c r="L273" s="10">
        <f t="shared" si="18"/>
        <v>9.3968216322869568E-3</v>
      </c>
      <c r="M273" s="11">
        <f t="shared" si="19"/>
        <v>1.9</v>
      </c>
      <c r="O273" s="31"/>
    </row>
    <row r="274" spans="1:15" ht="15" customHeight="1" x14ac:dyDescent="0.25">
      <c r="A274" t="s">
        <v>11</v>
      </c>
      <c r="B274">
        <v>480</v>
      </c>
      <c r="C274" t="s">
        <v>13</v>
      </c>
      <c r="E274" t="s">
        <v>7</v>
      </c>
      <c r="F274" s="162">
        <v>735641.38096703996</v>
      </c>
      <c r="G274" s="163">
        <v>53994.6708</v>
      </c>
      <c r="H274" s="1">
        <v>20627</v>
      </c>
      <c r="I274" s="29">
        <v>3008.2899999999991</v>
      </c>
      <c r="J274" s="8">
        <f t="shared" si="16"/>
        <v>681647</v>
      </c>
      <c r="K274" s="9">
        <f t="shared" si="17"/>
        <v>33.049999999999997</v>
      </c>
      <c r="L274" s="10">
        <f t="shared" si="18"/>
        <v>7.3398087977352658E-2</v>
      </c>
      <c r="M274" s="11">
        <f t="shared" si="19"/>
        <v>6.9</v>
      </c>
    </row>
    <row r="275" spans="1:15" ht="15" customHeight="1" x14ac:dyDescent="0.25">
      <c r="A275" t="s">
        <v>11</v>
      </c>
      <c r="B275">
        <v>484</v>
      </c>
      <c r="C275" t="s">
        <v>13</v>
      </c>
      <c r="E275" t="s">
        <v>7</v>
      </c>
      <c r="F275" s="162">
        <v>289153.68479968002</v>
      </c>
      <c r="G275" s="163">
        <v>9384.0580000000009</v>
      </c>
      <c r="H275" s="1">
        <v>3790</v>
      </c>
      <c r="I275" s="29">
        <v>637.09000000000015</v>
      </c>
      <c r="J275" s="8">
        <f t="shared" si="16"/>
        <v>279770</v>
      </c>
      <c r="K275" s="9">
        <f t="shared" si="17"/>
        <v>73.819999999999993</v>
      </c>
      <c r="L275" s="10">
        <f t="shared" si="18"/>
        <v>3.2453530746118939E-2</v>
      </c>
      <c r="M275" s="11">
        <f t="shared" si="19"/>
        <v>5.9</v>
      </c>
    </row>
    <row r="276" spans="1:15" ht="15" customHeight="1" x14ac:dyDescent="0.25">
      <c r="A276" t="s">
        <v>11</v>
      </c>
      <c r="B276">
        <v>489</v>
      </c>
      <c r="C276" t="s">
        <v>37</v>
      </c>
      <c r="E276" t="s">
        <v>7</v>
      </c>
      <c r="F276" s="162">
        <v>341644.87617792003</v>
      </c>
      <c r="G276" s="163">
        <v>17029.840499999998</v>
      </c>
      <c r="H276" s="1">
        <v>5070</v>
      </c>
      <c r="I276" s="29">
        <v>1265</v>
      </c>
      <c r="J276" s="8">
        <f t="shared" si="16"/>
        <v>324615</v>
      </c>
      <c r="K276" s="9">
        <f t="shared" si="17"/>
        <v>64.03</v>
      </c>
      <c r="L276" s="10">
        <f t="shared" si="18"/>
        <v>4.9846614679306026E-2</v>
      </c>
      <c r="M276" s="11">
        <f t="shared" si="19"/>
        <v>4</v>
      </c>
    </row>
    <row r="277" spans="1:15" ht="15" customHeight="1" x14ac:dyDescent="0.25">
      <c r="A277" t="s">
        <v>11</v>
      </c>
      <c r="B277">
        <v>490</v>
      </c>
      <c r="C277" t="s">
        <v>13</v>
      </c>
      <c r="E277" t="s">
        <v>7</v>
      </c>
      <c r="F277" s="162">
        <v>862301.26828384004</v>
      </c>
      <c r="G277" s="163">
        <v>51359.248299999999</v>
      </c>
      <c r="H277" s="1">
        <v>17913</v>
      </c>
      <c r="I277" s="29">
        <v>3409.1499999999996</v>
      </c>
      <c r="J277" s="8">
        <f t="shared" si="16"/>
        <v>810942</v>
      </c>
      <c r="K277" s="9">
        <f t="shared" si="17"/>
        <v>45.27</v>
      </c>
      <c r="L277" s="10">
        <f t="shared" si="18"/>
        <v>5.9560678140037591E-2</v>
      </c>
      <c r="M277" s="11">
        <f t="shared" si="19"/>
        <v>5.3</v>
      </c>
      <c r="O277" s="31"/>
    </row>
    <row r="278" spans="1:15" ht="15" customHeight="1" x14ac:dyDescent="0.25">
      <c r="A278" t="s">
        <v>11</v>
      </c>
      <c r="B278">
        <v>493</v>
      </c>
      <c r="C278" t="s">
        <v>13</v>
      </c>
      <c r="E278" t="s">
        <v>7</v>
      </c>
      <c r="F278" s="162">
        <v>425804.95403168001</v>
      </c>
      <c r="G278" s="163">
        <v>23882.282999999999</v>
      </c>
      <c r="H278" s="1">
        <v>10753</v>
      </c>
      <c r="I278" s="29">
        <v>1166.94</v>
      </c>
      <c r="J278" s="8">
        <f t="shared" si="16"/>
        <v>401923</v>
      </c>
      <c r="K278" s="9">
        <f t="shared" si="17"/>
        <v>37.380000000000003</v>
      </c>
      <c r="L278" s="10">
        <f t="shared" si="18"/>
        <v>5.6087377034657868E-2</v>
      </c>
      <c r="M278" s="11">
        <f t="shared" si="19"/>
        <v>9.1999999999999993</v>
      </c>
    </row>
    <row r="279" spans="1:15" ht="15" customHeight="1" x14ac:dyDescent="0.25">
      <c r="A279" t="s">
        <v>11</v>
      </c>
      <c r="B279">
        <v>495</v>
      </c>
      <c r="C279" t="s">
        <v>13</v>
      </c>
      <c r="E279" t="s">
        <v>7</v>
      </c>
      <c r="F279" s="162">
        <v>1364177.64841344</v>
      </c>
      <c r="G279" s="163">
        <v>142280.44569999998</v>
      </c>
      <c r="H279" s="1">
        <v>57897</v>
      </c>
      <c r="I279" s="29">
        <v>7281.8099999999995</v>
      </c>
      <c r="J279" s="8">
        <f t="shared" si="16"/>
        <v>1221897</v>
      </c>
      <c r="K279" s="9">
        <f t="shared" si="17"/>
        <v>21.1</v>
      </c>
      <c r="L279" s="10">
        <f t="shared" si="18"/>
        <v>0.10429759340029825</v>
      </c>
      <c r="M279" s="11">
        <f t="shared" si="19"/>
        <v>8</v>
      </c>
    </row>
    <row r="280" spans="1:15" ht="15" customHeight="1" x14ac:dyDescent="0.25">
      <c r="A280" t="s">
        <v>11</v>
      </c>
      <c r="B280">
        <v>495</v>
      </c>
      <c r="C280" t="s">
        <v>13</v>
      </c>
      <c r="E280" t="s">
        <v>15</v>
      </c>
      <c r="F280" s="162">
        <v>404416.33161663997</v>
      </c>
      <c r="G280" s="163">
        <v>19118.3649</v>
      </c>
      <c r="H280" s="1">
        <v>10944</v>
      </c>
      <c r="I280" s="29">
        <v>1544.4</v>
      </c>
      <c r="J280" s="8">
        <f t="shared" si="16"/>
        <v>385298</v>
      </c>
      <c r="K280" s="9">
        <f t="shared" si="17"/>
        <v>35.21</v>
      </c>
      <c r="L280" s="10">
        <f t="shared" si="18"/>
        <v>4.727396844626678E-2</v>
      </c>
      <c r="M280" s="11">
        <f t="shared" si="19"/>
        <v>7.1</v>
      </c>
    </row>
    <row r="281" spans="1:15" ht="15" customHeight="1" x14ac:dyDescent="0.25">
      <c r="A281" t="s">
        <v>11</v>
      </c>
      <c r="B281">
        <v>495</v>
      </c>
      <c r="C281" t="s">
        <v>13</v>
      </c>
      <c r="E281" t="s">
        <v>16</v>
      </c>
      <c r="F281" s="162">
        <v>409675.66957055999</v>
      </c>
      <c r="G281" s="163">
        <v>17731.442800000001</v>
      </c>
      <c r="H281" s="1">
        <v>9798</v>
      </c>
      <c r="I281" s="29">
        <v>1573</v>
      </c>
      <c r="J281" s="8">
        <f t="shared" si="16"/>
        <v>391944</v>
      </c>
      <c r="K281" s="9">
        <f t="shared" si="17"/>
        <v>40</v>
      </c>
      <c r="L281" s="10">
        <f t="shared" si="18"/>
        <v>4.3281659412644342E-2</v>
      </c>
      <c r="M281" s="11">
        <f t="shared" si="19"/>
        <v>6.2</v>
      </c>
    </row>
    <row r="282" spans="1:15" ht="15" customHeight="1" x14ac:dyDescent="0.25">
      <c r="A282" t="s">
        <v>11</v>
      </c>
      <c r="B282">
        <v>497</v>
      </c>
      <c r="C282" t="s">
        <v>37</v>
      </c>
      <c r="E282" t="s">
        <v>7</v>
      </c>
      <c r="F282" s="162">
        <v>668697.31537535996</v>
      </c>
      <c r="G282" s="163">
        <v>20427.965899999999</v>
      </c>
      <c r="H282" s="1">
        <v>13101</v>
      </c>
      <c r="I282" s="29">
        <v>3284.41</v>
      </c>
      <c r="J282" s="8">
        <f t="shared" si="16"/>
        <v>648269</v>
      </c>
      <c r="K282" s="9">
        <f t="shared" si="17"/>
        <v>49.48</v>
      </c>
      <c r="L282" s="10">
        <f t="shared" si="18"/>
        <v>3.0548897730407615E-2</v>
      </c>
      <c r="M282" s="11">
        <f t="shared" si="19"/>
        <v>4</v>
      </c>
    </row>
    <row r="283" spans="1:15" ht="15" customHeight="1" x14ac:dyDescent="0.25">
      <c r="A283" t="s">
        <v>11</v>
      </c>
      <c r="B283">
        <v>497</v>
      </c>
      <c r="C283" t="s">
        <v>37</v>
      </c>
      <c r="E283" t="s">
        <v>15</v>
      </c>
      <c r="F283" s="162">
        <v>174733.67700512</v>
      </c>
      <c r="G283" s="163">
        <v>1288.1370999999999</v>
      </c>
      <c r="H283" s="1">
        <v>1333</v>
      </c>
      <c r="I283" s="29">
        <v>339.21000000000004</v>
      </c>
      <c r="J283" s="8">
        <f t="shared" si="16"/>
        <v>173446</v>
      </c>
      <c r="K283" s="9">
        <f t="shared" si="17"/>
        <v>130.12</v>
      </c>
      <c r="L283" s="10">
        <f t="shared" si="18"/>
        <v>7.3720024787337088E-3</v>
      </c>
      <c r="M283" s="11">
        <f t="shared" si="19"/>
        <v>3.9</v>
      </c>
    </row>
    <row r="284" spans="1:15" ht="15" customHeight="1" x14ac:dyDescent="0.25">
      <c r="A284" t="s">
        <v>11</v>
      </c>
      <c r="B284">
        <v>497</v>
      </c>
      <c r="C284" t="s">
        <v>37</v>
      </c>
      <c r="E284" t="s">
        <v>16</v>
      </c>
      <c r="F284" s="162">
        <v>175788.37773583998</v>
      </c>
      <c r="G284" s="163">
        <v>1058.0083999999999</v>
      </c>
      <c r="H284" s="1">
        <v>948</v>
      </c>
      <c r="I284" s="29">
        <v>345.48</v>
      </c>
      <c r="J284" s="8">
        <f t="shared" si="16"/>
        <v>174730</v>
      </c>
      <c r="K284" s="9">
        <f t="shared" si="17"/>
        <v>184.31</v>
      </c>
      <c r="L284" s="10">
        <f t="shared" si="18"/>
        <v>6.0186481815645747E-3</v>
      </c>
      <c r="M284" s="11">
        <f t="shared" si="19"/>
        <v>2.7</v>
      </c>
    </row>
    <row r="285" spans="1:15" ht="15" customHeight="1" x14ac:dyDescent="0.25">
      <c r="A285" t="s">
        <v>11</v>
      </c>
      <c r="B285">
        <v>498</v>
      </c>
      <c r="C285" t="s">
        <v>13</v>
      </c>
      <c r="E285" t="s">
        <v>7</v>
      </c>
      <c r="F285" s="162">
        <v>181093.7877824</v>
      </c>
      <c r="G285" s="163">
        <v>234.61850000000001</v>
      </c>
      <c r="H285" s="1">
        <v>139</v>
      </c>
      <c r="I285" s="29">
        <v>384.3</v>
      </c>
      <c r="J285" s="8">
        <f t="shared" si="16"/>
        <v>180859</v>
      </c>
      <c r="K285" s="9">
        <f t="shared" si="17"/>
        <v>1301.1400000000001</v>
      </c>
      <c r="L285" s="10">
        <f t="shared" si="18"/>
        <v>1.2955634915644628E-3</v>
      </c>
      <c r="M285" s="11">
        <f t="shared" si="19"/>
        <v>0.4</v>
      </c>
    </row>
    <row r="286" spans="1:15" ht="15" customHeight="1" x14ac:dyDescent="0.25">
      <c r="A286" t="s">
        <v>11</v>
      </c>
      <c r="B286">
        <v>499</v>
      </c>
      <c r="C286" t="s">
        <v>37</v>
      </c>
      <c r="E286" t="s">
        <v>7</v>
      </c>
      <c r="F286" s="162">
        <v>656836.53927903995</v>
      </c>
      <c r="G286" s="163">
        <v>22512.827700000002</v>
      </c>
      <c r="H286" s="1">
        <v>12294</v>
      </c>
      <c r="I286" s="29">
        <v>3229.5999999999995</v>
      </c>
      <c r="J286" s="8">
        <f t="shared" si="16"/>
        <v>634324</v>
      </c>
      <c r="K286" s="9">
        <f t="shared" si="17"/>
        <v>51.6</v>
      </c>
      <c r="L286" s="10">
        <f t="shared" si="18"/>
        <v>3.4274627481459298E-2</v>
      </c>
      <c r="M286" s="11">
        <f t="shared" si="19"/>
        <v>3.8</v>
      </c>
      <c r="O286" s="31"/>
    </row>
    <row r="287" spans="1:15" ht="15" customHeight="1" x14ac:dyDescent="0.25">
      <c r="A287" t="s">
        <v>11</v>
      </c>
      <c r="B287">
        <v>499</v>
      </c>
      <c r="C287" t="s">
        <v>37</v>
      </c>
      <c r="E287" t="s">
        <v>15</v>
      </c>
      <c r="F287" s="162">
        <v>178814.68630383999</v>
      </c>
      <c r="G287" s="163">
        <v>660.26189999999997</v>
      </c>
      <c r="H287" s="1">
        <v>877</v>
      </c>
      <c r="I287" s="29">
        <v>345.9</v>
      </c>
      <c r="J287" s="8">
        <f t="shared" si="16"/>
        <v>178154</v>
      </c>
      <c r="K287" s="9">
        <f t="shared" si="17"/>
        <v>203.14</v>
      </c>
      <c r="L287" s="10">
        <f t="shared" si="18"/>
        <v>3.6924366429169583E-3</v>
      </c>
      <c r="M287" s="11">
        <f t="shared" si="19"/>
        <v>2.5</v>
      </c>
      <c r="O287" s="31"/>
    </row>
    <row r="288" spans="1:15" ht="15" customHeight="1" x14ac:dyDescent="0.25">
      <c r="A288" t="s">
        <v>11</v>
      </c>
      <c r="B288">
        <v>499</v>
      </c>
      <c r="C288" t="s">
        <v>37</v>
      </c>
      <c r="E288" t="s">
        <v>16</v>
      </c>
      <c r="F288" s="162">
        <v>180023.92194015998</v>
      </c>
      <c r="G288" s="163">
        <v>541.27170000000001</v>
      </c>
      <c r="H288" s="1">
        <v>693</v>
      </c>
      <c r="I288" s="29">
        <v>352.5</v>
      </c>
      <c r="J288" s="8">
        <f t="shared" si="16"/>
        <v>179483</v>
      </c>
      <c r="K288" s="9">
        <f t="shared" si="17"/>
        <v>258.99</v>
      </c>
      <c r="L288" s="10">
        <f t="shared" si="18"/>
        <v>3.0066654151658738E-3</v>
      </c>
      <c r="M288" s="11">
        <f t="shared" si="19"/>
        <v>2</v>
      </c>
    </row>
    <row r="289" spans="1:14" ht="15" customHeight="1" x14ac:dyDescent="0.25">
      <c r="A289" t="s">
        <v>11</v>
      </c>
      <c r="B289" t="s">
        <v>24</v>
      </c>
      <c r="C289" t="s">
        <v>121</v>
      </c>
      <c r="E289" t="s">
        <v>121</v>
      </c>
      <c r="F289" s="162">
        <v>301066.19088080002</v>
      </c>
      <c r="G289" s="163">
        <v>244203</v>
      </c>
      <c r="H289" s="1">
        <v>95354</v>
      </c>
      <c r="I289" s="29">
        <v>1087.8700000000001</v>
      </c>
      <c r="J289" s="8">
        <f t="shared" si="16"/>
        <v>56863</v>
      </c>
      <c r="K289" s="9">
        <f t="shared" si="17"/>
        <v>0.6</v>
      </c>
      <c r="L289" s="10">
        <f t="shared" si="18"/>
        <v>0.811127278308996</v>
      </c>
      <c r="M289" s="11">
        <f t="shared" si="19"/>
        <v>87.7</v>
      </c>
    </row>
    <row r="290" spans="1:14" ht="15" customHeight="1" x14ac:dyDescent="0.25">
      <c r="A290" t="s">
        <v>11</v>
      </c>
      <c r="B290" t="s">
        <v>120</v>
      </c>
      <c r="C290" t="s">
        <v>14</v>
      </c>
      <c r="E290" t="s">
        <v>25</v>
      </c>
      <c r="F290" s="162">
        <v>2649965</v>
      </c>
      <c r="G290" s="163">
        <v>76641</v>
      </c>
      <c r="H290" s="1">
        <v>87842</v>
      </c>
      <c r="I290" s="29">
        <v>36258</v>
      </c>
      <c r="J290" s="8">
        <f t="shared" si="16"/>
        <v>2573324</v>
      </c>
      <c r="K290" s="9">
        <f t="shared" si="17"/>
        <v>29.29</v>
      </c>
      <c r="L290" s="10">
        <f t="shared" si="18"/>
        <v>2.8921514057732838E-2</v>
      </c>
      <c r="M290" s="11">
        <f t="shared" si="19"/>
        <v>2.4</v>
      </c>
    </row>
    <row r="291" spans="1:14" ht="15" customHeight="1" x14ac:dyDescent="0.25">
      <c r="A291" t="s">
        <v>17</v>
      </c>
      <c r="B291" s="22">
        <v>747</v>
      </c>
      <c r="C291" t="s">
        <v>13</v>
      </c>
      <c r="D291" t="s">
        <v>49</v>
      </c>
      <c r="E291" s="22" t="s">
        <v>7</v>
      </c>
      <c r="F291" s="23">
        <v>873292.84624366974</v>
      </c>
      <c r="G291" s="23">
        <v>48274</v>
      </c>
      <c r="H291" s="24">
        <v>22336</v>
      </c>
      <c r="I291" s="24">
        <v>4525</v>
      </c>
      <c r="J291" s="8">
        <f t="shared" ref="J291:J307" si="20">ROUND(F291-G291,0)</f>
        <v>825019</v>
      </c>
      <c r="K291" s="9">
        <f t="shared" ref="K291:K307" si="21">ROUND(J291/H291,2)</f>
        <v>36.94</v>
      </c>
      <c r="L291" s="10">
        <f t="shared" ref="L291:L307" si="22">+G291/F291</f>
        <v>5.5278135172689126E-2</v>
      </c>
      <c r="M291" s="11">
        <f t="shared" ref="M291:M307" si="23">ROUND(H291/I291,1)</f>
        <v>4.9000000000000004</v>
      </c>
      <c r="N291">
        <f>F291/I291</f>
        <v>192.99289419749607</v>
      </c>
    </row>
    <row r="292" spans="1:14" ht="15" customHeight="1" x14ac:dyDescent="0.25">
      <c r="A292" t="s">
        <v>17</v>
      </c>
      <c r="B292" s="22">
        <v>774</v>
      </c>
      <c r="C292" t="s">
        <v>13</v>
      </c>
      <c r="D292" t="s">
        <v>49</v>
      </c>
      <c r="E292" s="22" t="s">
        <v>7</v>
      </c>
      <c r="F292" s="23">
        <v>707636.04566639033</v>
      </c>
      <c r="G292" s="23">
        <v>72247</v>
      </c>
      <c r="H292" s="24">
        <v>33354</v>
      </c>
      <c r="I292" s="24">
        <v>3896</v>
      </c>
      <c r="J292" s="8">
        <f t="shared" si="20"/>
        <v>635389</v>
      </c>
      <c r="K292" s="9">
        <f t="shared" si="21"/>
        <v>19.05</v>
      </c>
      <c r="L292" s="10">
        <f t="shared" si="22"/>
        <v>0.10209626889761393</v>
      </c>
      <c r="M292" s="11">
        <f t="shared" si="23"/>
        <v>8.6</v>
      </c>
      <c r="N292">
        <f>F292/I292</f>
        <v>181.63142855913509</v>
      </c>
    </row>
    <row r="293" spans="1:14" ht="15" customHeight="1" x14ac:dyDescent="0.25">
      <c r="A293" t="s">
        <v>17</v>
      </c>
      <c r="B293" s="22">
        <v>776</v>
      </c>
      <c r="C293" t="s">
        <v>13</v>
      </c>
      <c r="D293" t="s">
        <v>49</v>
      </c>
      <c r="E293" s="22" t="s">
        <v>7</v>
      </c>
      <c r="F293" s="23">
        <v>514262.51487256889</v>
      </c>
      <c r="G293" s="23">
        <v>27120</v>
      </c>
      <c r="H293" s="24">
        <v>12516</v>
      </c>
      <c r="I293" s="24">
        <v>2614</v>
      </c>
      <c r="J293" s="8">
        <f t="shared" si="20"/>
        <v>487143</v>
      </c>
      <c r="K293" s="9">
        <f t="shared" si="21"/>
        <v>38.92</v>
      </c>
      <c r="L293" s="10">
        <f t="shared" si="22"/>
        <v>5.2735712239730656E-2</v>
      </c>
      <c r="M293" s="11">
        <f t="shared" si="23"/>
        <v>4.8</v>
      </c>
      <c r="N293">
        <f>F293/I293</f>
        <v>196.73393835981977</v>
      </c>
    </row>
    <row r="294" spans="1:14" ht="15" customHeight="1" x14ac:dyDescent="0.25">
      <c r="A294" t="s">
        <v>17</v>
      </c>
      <c r="B294" s="22">
        <v>777</v>
      </c>
      <c r="C294" t="s">
        <v>13</v>
      </c>
      <c r="D294" t="s">
        <v>49</v>
      </c>
      <c r="E294" s="22" t="s">
        <v>7</v>
      </c>
      <c r="F294" s="23">
        <v>582169.02238552412</v>
      </c>
      <c r="G294" s="23">
        <v>27540</v>
      </c>
      <c r="H294" s="24">
        <v>12807</v>
      </c>
      <c r="I294" s="24">
        <v>2907</v>
      </c>
      <c r="J294" s="8">
        <f t="shared" si="20"/>
        <v>554629</v>
      </c>
      <c r="K294" s="9">
        <f t="shared" si="21"/>
        <v>43.31</v>
      </c>
      <c r="L294" s="10">
        <f t="shared" si="22"/>
        <v>4.7305849231123215E-2</v>
      </c>
      <c r="M294" s="11">
        <f t="shared" si="23"/>
        <v>4.4000000000000004</v>
      </c>
      <c r="N294">
        <f>F294/I294</f>
        <v>200.26454158428763</v>
      </c>
    </row>
    <row r="295" spans="1:14" ht="15" customHeight="1" x14ac:dyDescent="0.25">
      <c r="A295" t="s">
        <v>17</v>
      </c>
      <c r="B295" s="22">
        <v>790</v>
      </c>
      <c r="C295" t="s">
        <v>13</v>
      </c>
      <c r="D295" t="s">
        <v>49</v>
      </c>
      <c r="E295" s="22" t="s">
        <v>7</v>
      </c>
      <c r="F295" s="23">
        <v>419550.72288028523</v>
      </c>
      <c r="G295" s="23">
        <v>32211</v>
      </c>
      <c r="H295" s="24">
        <v>14899</v>
      </c>
      <c r="I295" s="24">
        <v>2294</v>
      </c>
      <c r="J295" s="8">
        <f t="shared" si="20"/>
        <v>387340</v>
      </c>
      <c r="K295" s="9">
        <f t="shared" si="21"/>
        <v>26</v>
      </c>
      <c r="L295" s="10">
        <f t="shared" si="22"/>
        <v>7.6774983913425646E-2</v>
      </c>
      <c r="M295" s="11">
        <f t="shared" si="23"/>
        <v>6.5</v>
      </c>
      <c r="N295">
        <f>F295/I295</f>
        <v>182.89046333055154</v>
      </c>
    </row>
    <row r="296" spans="1:14" ht="15" customHeight="1" x14ac:dyDescent="0.25">
      <c r="A296" t="s">
        <v>17</v>
      </c>
      <c r="B296" s="22">
        <v>795</v>
      </c>
      <c r="C296" t="s">
        <v>13</v>
      </c>
      <c r="D296" t="s">
        <v>49</v>
      </c>
      <c r="E296" s="22" t="s">
        <v>7</v>
      </c>
      <c r="F296" s="23">
        <v>92172.393235416253</v>
      </c>
      <c r="G296" s="23">
        <v>7953</v>
      </c>
      <c r="H296" s="24">
        <v>3800</v>
      </c>
      <c r="I296" s="24">
        <v>461</v>
      </c>
      <c r="J296" s="8">
        <f t="shared" si="20"/>
        <v>84219</v>
      </c>
      <c r="K296" s="9">
        <f t="shared" si="21"/>
        <v>22.16</v>
      </c>
      <c r="L296" s="10">
        <f t="shared" si="22"/>
        <v>8.6283969861641233E-2</v>
      </c>
      <c r="M296" s="11">
        <f t="shared" si="23"/>
        <v>8.1999999999999993</v>
      </c>
      <c r="N296">
        <f>F296/I296</f>
        <v>199.94011547812636</v>
      </c>
    </row>
    <row r="297" spans="1:14" ht="15" customHeight="1" x14ac:dyDescent="0.25">
      <c r="A297" t="s">
        <v>17</v>
      </c>
      <c r="B297" s="22" t="s">
        <v>18</v>
      </c>
      <c r="C297" t="s">
        <v>14</v>
      </c>
      <c r="D297" t="s">
        <v>50</v>
      </c>
      <c r="E297" s="22" t="s">
        <v>7</v>
      </c>
      <c r="F297" s="25">
        <v>1038784.0577838204</v>
      </c>
      <c r="G297" s="23">
        <v>74128.50940000001</v>
      </c>
      <c r="H297" s="24">
        <v>30104</v>
      </c>
      <c r="I297" s="24">
        <v>10447</v>
      </c>
      <c r="J297" s="8">
        <f t="shared" si="20"/>
        <v>964656</v>
      </c>
      <c r="K297" s="9">
        <f t="shared" si="21"/>
        <v>32.04</v>
      </c>
      <c r="L297" s="10">
        <f t="shared" si="22"/>
        <v>7.136084621682437E-2</v>
      </c>
      <c r="M297" s="11">
        <f t="shared" si="23"/>
        <v>2.9</v>
      </c>
      <c r="N297">
        <f>F297/I297</f>
        <v>99.43371855880352</v>
      </c>
    </row>
    <row r="298" spans="1:14" ht="15" customHeight="1" x14ac:dyDescent="0.25">
      <c r="A298" t="s">
        <v>17</v>
      </c>
      <c r="B298" s="22" t="s">
        <v>18</v>
      </c>
      <c r="C298" t="s">
        <v>14</v>
      </c>
      <c r="D298" t="s">
        <v>50</v>
      </c>
      <c r="E298" s="22" t="s">
        <v>15</v>
      </c>
      <c r="F298" s="25">
        <v>68509.832087015631</v>
      </c>
      <c r="G298" s="26">
        <v>4997.4276</v>
      </c>
      <c r="H298" s="20">
        <v>1851</v>
      </c>
      <c r="I298" s="24">
        <v>689</v>
      </c>
      <c r="J298" s="8">
        <f t="shared" si="20"/>
        <v>63512</v>
      </c>
      <c r="K298" s="9">
        <f t="shared" si="21"/>
        <v>34.31</v>
      </c>
      <c r="L298" s="10">
        <f t="shared" si="22"/>
        <v>7.2944677395394467E-2</v>
      </c>
      <c r="M298" s="11">
        <f t="shared" si="23"/>
        <v>2.7</v>
      </c>
      <c r="N298">
        <f>F298/I298</f>
        <v>99.433718558803534</v>
      </c>
    </row>
    <row r="299" spans="1:14" ht="15" customHeight="1" x14ac:dyDescent="0.25">
      <c r="A299" t="s">
        <v>17</v>
      </c>
      <c r="B299" s="22" t="s">
        <v>18</v>
      </c>
      <c r="C299" t="s">
        <v>14</v>
      </c>
      <c r="D299" t="s">
        <v>50</v>
      </c>
      <c r="E299" s="22" t="s">
        <v>16</v>
      </c>
      <c r="F299" s="25">
        <v>62842.110129163833</v>
      </c>
      <c r="G299" s="23">
        <v>4164.5230000000001</v>
      </c>
      <c r="H299" s="24">
        <v>1599</v>
      </c>
      <c r="I299" s="24">
        <v>632</v>
      </c>
      <c r="J299" s="8">
        <f t="shared" si="20"/>
        <v>58678</v>
      </c>
      <c r="K299" s="9">
        <f t="shared" si="21"/>
        <v>36.700000000000003</v>
      </c>
      <c r="L299" s="10">
        <f t="shared" si="22"/>
        <v>6.6269623846818032E-2</v>
      </c>
      <c r="M299" s="11">
        <f t="shared" si="23"/>
        <v>2.5</v>
      </c>
      <c r="N299">
        <f>F299/I299</f>
        <v>99.433718558803534</v>
      </c>
    </row>
    <row r="300" spans="1:14" ht="15" customHeight="1" x14ac:dyDescent="0.25">
      <c r="A300" t="s">
        <v>56</v>
      </c>
      <c r="B300">
        <v>600</v>
      </c>
      <c r="C300" t="s">
        <v>13</v>
      </c>
      <c r="D300" t="s">
        <v>49</v>
      </c>
      <c r="E300" t="s">
        <v>7</v>
      </c>
      <c r="F300" s="21">
        <v>589475.02005267399</v>
      </c>
      <c r="G300" s="21">
        <v>61033.440000000002</v>
      </c>
      <c r="H300" s="7">
        <v>6503</v>
      </c>
      <c r="I300" s="7">
        <v>1437.05</v>
      </c>
      <c r="J300" s="8">
        <f t="shared" si="20"/>
        <v>528442</v>
      </c>
      <c r="K300" s="9">
        <f t="shared" si="21"/>
        <v>81.260000000000005</v>
      </c>
      <c r="L300" s="10">
        <f t="shared" si="22"/>
        <v>0.10353863679337287</v>
      </c>
      <c r="M300" s="11">
        <f t="shared" si="23"/>
        <v>4.5</v>
      </c>
      <c r="N300">
        <f>F300/I300</f>
        <v>410.19798897232107</v>
      </c>
    </row>
    <row r="301" spans="1:14" ht="15" customHeight="1" x14ac:dyDescent="0.25">
      <c r="A301" t="s">
        <v>56</v>
      </c>
      <c r="B301">
        <v>690</v>
      </c>
      <c r="C301" t="s">
        <v>13</v>
      </c>
      <c r="D301" t="s">
        <v>49</v>
      </c>
      <c r="E301" t="s">
        <v>7</v>
      </c>
      <c r="F301" s="21">
        <v>467480.31249726366</v>
      </c>
      <c r="G301" s="21">
        <v>27666.35</v>
      </c>
      <c r="H301" s="7">
        <v>9521</v>
      </c>
      <c r="I301" s="7">
        <v>1061.8699999999999</v>
      </c>
      <c r="J301" s="8">
        <f t="shared" si="20"/>
        <v>439814</v>
      </c>
      <c r="K301" s="9">
        <f t="shared" si="21"/>
        <v>46.19</v>
      </c>
      <c r="L301" s="10">
        <f t="shared" si="22"/>
        <v>5.9181850572930683E-2</v>
      </c>
      <c r="M301" s="11">
        <f t="shared" si="23"/>
        <v>9</v>
      </c>
      <c r="N301">
        <f>F301/I301</f>
        <v>440.24250849658029</v>
      </c>
    </row>
    <row r="302" spans="1:14" ht="15" customHeight="1" x14ac:dyDescent="0.25">
      <c r="A302" t="s">
        <v>56</v>
      </c>
      <c r="B302">
        <v>695</v>
      </c>
      <c r="C302" t="s">
        <v>13</v>
      </c>
      <c r="D302" t="s">
        <v>49</v>
      </c>
      <c r="E302" t="s">
        <v>7</v>
      </c>
      <c r="F302" s="21">
        <v>1266368.1493207754</v>
      </c>
      <c r="G302" s="21">
        <v>93458.66</v>
      </c>
      <c r="H302" s="7">
        <v>31639</v>
      </c>
      <c r="I302" s="7">
        <v>2393.63</v>
      </c>
      <c r="J302" s="8">
        <f t="shared" si="20"/>
        <v>1172909</v>
      </c>
      <c r="K302" s="9">
        <f t="shared" si="21"/>
        <v>37.07</v>
      </c>
      <c r="L302" s="10">
        <f t="shared" si="22"/>
        <v>7.3800545323354158E-2</v>
      </c>
      <c r="M302" s="11">
        <f t="shared" si="23"/>
        <v>13.2</v>
      </c>
      <c r="N302">
        <f>F302/I302</f>
        <v>529.05760260390093</v>
      </c>
    </row>
    <row r="303" spans="1:14" ht="15" customHeight="1" x14ac:dyDescent="0.25">
      <c r="A303" t="s">
        <v>56</v>
      </c>
      <c r="B303">
        <v>698</v>
      </c>
      <c r="C303" t="s">
        <v>13</v>
      </c>
      <c r="D303" t="s">
        <v>49</v>
      </c>
      <c r="E303" t="s">
        <v>7</v>
      </c>
      <c r="F303" s="21">
        <v>5650545.0083933007</v>
      </c>
      <c r="G303" s="21">
        <v>342354.25</v>
      </c>
      <c r="H303" s="7">
        <v>115419</v>
      </c>
      <c r="I303" s="7">
        <v>11341.95</v>
      </c>
      <c r="J303" s="8">
        <f t="shared" si="20"/>
        <v>5308191</v>
      </c>
      <c r="K303" s="9">
        <f t="shared" si="21"/>
        <v>45.99</v>
      </c>
      <c r="L303" s="10">
        <f t="shared" si="22"/>
        <v>6.058782816373786E-2</v>
      </c>
      <c r="M303" s="11">
        <f t="shared" si="23"/>
        <v>10.199999999999999</v>
      </c>
      <c r="N303">
        <f>F303/I303</f>
        <v>498.1987231819308</v>
      </c>
    </row>
    <row r="304" spans="1:14" ht="15" customHeight="1" x14ac:dyDescent="0.25">
      <c r="A304" t="s">
        <v>56</v>
      </c>
      <c r="B304">
        <v>699</v>
      </c>
      <c r="C304" t="s">
        <v>13</v>
      </c>
      <c r="D304" t="s">
        <v>49</v>
      </c>
      <c r="E304" t="s">
        <v>7</v>
      </c>
      <c r="F304" s="21">
        <v>345648.34343252529</v>
      </c>
      <c r="G304" s="21">
        <v>22643.599999999999</v>
      </c>
      <c r="H304" s="7">
        <v>7655</v>
      </c>
      <c r="I304" s="7">
        <v>683.47</v>
      </c>
      <c r="J304" s="8">
        <f t="shared" si="20"/>
        <v>323005</v>
      </c>
      <c r="K304" s="9">
        <f t="shared" si="21"/>
        <v>42.2</v>
      </c>
      <c r="L304" s="10">
        <f t="shared" si="22"/>
        <v>6.5510512144029129E-2</v>
      </c>
      <c r="M304" s="11">
        <f t="shared" si="23"/>
        <v>11.2</v>
      </c>
      <c r="N304">
        <f>F304/I304</f>
        <v>505.72569890781642</v>
      </c>
    </row>
    <row r="305" spans="1:14" ht="15" customHeight="1" x14ac:dyDescent="0.25">
      <c r="A305" t="s">
        <v>56</v>
      </c>
      <c r="B305" t="s">
        <v>53</v>
      </c>
      <c r="C305" t="s">
        <v>54</v>
      </c>
      <c r="D305" t="s">
        <v>50</v>
      </c>
      <c r="E305" t="s">
        <v>15</v>
      </c>
      <c r="F305" s="21">
        <v>185939.92681596254</v>
      </c>
      <c r="G305" s="21">
        <v>27726.49</v>
      </c>
      <c r="H305" s="7">
        <v>11108</v>
      </c>
      <c r="I305" s="7">
        <v>4431.4799999999996</v>
      </c>
      <c r="J305" s="8">
        <f t="shared" si="20"/>
        <v>158213</v>
      </c>
      <c r="K305" s="9">
        <f t="shared" si="21"/>
        <v>14.24</v>
      </c>
      <c r="L305" s="10">
        <f t="shared" si="22"/>
        <v>0.14911531092212812</v>
      </c>
      <c r="M305" s="11">
        <f t="shared" si="23"/>
        <v>2.5</v>
      </c>
      <c r="N305">
        <f>F305/I305</f>
        <v>41.958877579490952</v>
      </c>
    </row>
    <row r="306" spans="1:14" ht="15" customHeight="1" x14ac:dyDescent="0.25">
      <c r="A306" t="s">
        <v>56</v>
      </c>
      <c r="B306" t="s">
        <v>53</v>
      </c>
      <c r="C306" t="s">
        <v>54</v>
      </c>
      <c r="D306" t="s">
        <v>50</v>
      </c>
      <c r="E306" t="s">
        <v>55</v>
      </c>
      <c r="F306" s="21">
        <v>1701668.4914605655</v>
      </c>
      <c r="G306" s="21">
        <v>380980.76</v>
      </c>
      <c r="H306" s="7">
        <v>100431</v>
      </c>
      <c r="I306" s="7">
        <v>41157.360000000001</v>
      </c>
      <c r="J306" s="8">
        <f t="shared" si="20"/>
        <v>1320688</v>
      </c>
      <c r="K306" s="9">
        <f t="shared" si="21"/>
        <v>13.15</v>
      </c>
      <c r="L306" s="10">
        <f t="shared" si="22"/>
        <v>0.22388659243082004</v>
      </c>
      <c r="M306" s="11">
        <f t="shared" si="23"/>
        <v>2.4</v>
      </c>
      <c r="N306">
        <f>F306/I306</f>
        <v>41.345423794445644</v>
      </c>
    </row>
    <row r="307" spans="1:14" ht="15" customHeight="1" x14ac:dyDescent="0.25">
      <c r="A307" t="s">
        <v>56</v>
      </c>
      <c r="B307">
        <v>682</v>
      </c>
      <c r="C307" t="s">
        <v>52</v>
      </c>
      <c r="D307" t="s">
        <v>49</v>
      </c>
      <c r="E307" t="s">
        <v>52</v>
      </c>
      <c r="F307" s="21">
        <v>1203930.7962103263</v>
      </c>
      <c r="G307" s="21">
        <v>130333.79999999999</v>
      </c>
      <c r="H307" s="7">
        <v>90781</v>
      </c>
      <c r="I307" s="7">
        <v>2129.75</v>
      </c>
      <c r="J307" s="8">
        <f t="shared" si="20"/>
        <v>1073597</v>
      </c>
      <c r="K307" s="9">
        <f t="shared" si="21"/>
        <v>11.83</v>
      </c>
      <c r="L307" s="10">
        <f t="shared" si="22"/>
        <v>0.10825688686613738</v>
      </c>
      <c r="M307" s="11">
        <f t="shared" si="23"/>
        <v>42.6</v>
      </c>
      <c r="N307">
        <f>F307/I307</f>
        <v>565.29207475540613</v>
      </c>
    </row>
    <row r="308" spans="1:14" x14ac:dyDescent="0.25">
      <c r="F308"/>
      <c r="H308" s="8"/>
      <c r="J308" s="27"/>
    </row>
    <row r="309" spans="1:14" x14ac:dyDescent="0.25">
      <c r="F309"/>
      <c r="H309" s="8"/>
      <c r="J309" s="27"/>
    </row>
    <row r="310" spans="1:14" x14ac:dyDescent="0.25">
      <c r="F310"/>
      <c r="H310" s="8"/>
      <c r="J310" s="27"/>
    </row>
    <row r="311" spans="1:14" x14ac:dyDescent="0.25">
      <c r="F311"/>
      <c r="H311" s="8"/>
      <c r="J311" s="27"/>
    </row>
    <row r="312" spans="1:14" x14ac:dyDescent="0.25">
      <c r="F312"/>
      <c r="H312" s="8"/>
      <c r="J312" s="27"/>
    </row>
    <row r="313" spans="1:14" x14ac:dyDescent="0.25">
      <c r="F313"/>
      <c r="H313" s="8"/>
      <c r="J313" s="27"/>
    </row>
    <row r="314" spans="1:14" x14ac:dyDescent="0.25">
      <c r="F314"/>
      <c r="H314" s="8"/>
      <c r="J314" s="27"/>
    </row>
    <row r="315" spans="1:14" x14ac:dyDescent="0.25">
      <c r="F315"/>
      <c r="H315" s="8"/>
      <c r="J315" s="27"/>
    </row>
    <row r="316" spans="1:14" x14ac:dyDescent="0.25">
      <c r="F316"/>
      <c r="H316" s="8"/>
      <c r="J316" s="27"/>
    </row>
    <row r="317" spans="1:14" x14ac:dyDescent="0.25">
      <c r="F317"/>
      <c r="H317" s="8"/>
      <c r="J317" s="27"/>
    </row>
    <row r="318" spans="1:14" x14ac:dyDescent="0.25">
      <c r="F318"/>
      <c r="H318" s="8"/>
      <c r="J318" s="27"/>
    </row>
    <row r="319" spans="1:14" x14ac:dyDescent="0.25">
      <c r="F319"/>
      <c r="H319" s="8"/>
      <c r="J319" s="27"/>
    </row>
    <row r="320" spans="1:14" x14ac:dyDescent="0.25">
      <c r="F320"/>
      <c r="H320" s="8"/>
      <c r="J320" s="27"/>
    </row>
    <row r="321" spans="7:8" x14ac:dyDescent="0.25">
      <c r="G321" s="27"/>
      <c r="H321" s="8"/>
    </row>
  </sheetData>
  <autoFilter ref="A1:O263" xr:uid="{E6F7F75E-2FB1-4263-8E71-4C64139B52E2}"/>
  <sortState xmlns:xlrd2="http://schemas.microsoft.com/office/spreadsheetml/2017/richdata2" ref="A2:O307">
    <sortCondition ref="A152:A307"/>
  </sortState>
  <conditionalFormatting sqref="A157:I240 A240:A290 A241:B246 D241:I246 C241:C264">
    <cfRule type="expression" dxfId="5" priority="1">
      <formula>(ROW(A157)-1)/3=ROUND((ROW(A157)-1)/3,0)</formula>
    </cfRule>
  </conditionalFormatting>
  <conditionalFormatting sqref="C98:C106 O224:O246">
    <cfRule type="expression" dxfId="4" priority="14">
      <formula>(ROW(C98)-1)/3=ROUND((ROW(C98)-1)/3,0)</formula>
    </cfRule>
  </conditionalFormatting>
  <conditionalFormatting sqref="C122">
    <cfRule type="expression" dxfId="3" priority="12">
      <formula>(ROW(C122)-1)/3=ROUND((ROW(C122)-1)/3,0)</formula>
    </cfRule>
  </conditionalFormatting>
  <conditionalFormatting sqref="C124:C132">
    <cfRule type="expression" dxfId="2" priority="11">
      <formula>(ROW(C124)-1)/3=ROUND((ROW(C124)-1)/3,0)</formula>
    </cfRule>
  </conditionalFormatting>
  <conditionalFormatting sqref="C134:C143">
    <cfRule type="expression" dxfId="1" priority="10">
      <formula>(ROW(C134)-1)/3=ROUND((ROW(C134)-1)/3,0)</formula>
    </cfRule>
  </conditionalFormatting>
  <conditionalFormatting sqref="C145:C156">
    <cfRule type="expression" dxfId="0" priority="8">
      <formula>(ROW(C145)-1)/3=ROUND((ROW(C145)-1)/3,0)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0C47-4874-4271-BE45-136EFC5E64B8}">
  <dimension ref="A1:Q89"/>
  <sheetViews>
    <sheetView workbookViewId="0">
      <selection activeCell="J93" sqref="J93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3.85546875" bestFit="1" customWidth="1"/>
    <col min="6" max="6" width="15.140625" bestFit="1" customWidth="1"/>
    <col min="7" max="7" width="16.28515625" bestFit="1" customWidth="1"/>
    <col min="8" max="10" width="11.7109375" customWidth="1"/>
    <col min="11" max="11" width="14.140625" customWidth="1"/>
    <col min="12" max="12" width="11.7109375" customWidth="1"/>
    <col min="13" max="13" width="40.7109375" customWidth="1"/>
    <col min="14" max="14" width="16.42578125" bestFit="1" customWidth="1"/>
    <col min="15" max="15" width="20.85546875" bestFit="1" customWidth="1"/>
    <col min="16" max="16" width="26.7109375" bestFit="1" customWidth="1"/>
    <col min="17" max="17" width="19.7109375" bestFit="1" customWidth="1"/>
  </cols>
  <sheetData>
    <row r="1" spans="1:17" ht="18.75" x14ac:dyDescent="0.3">
      <c r="A1" s="32" t="s">
        <v>96</v>
      </c>
    </row>
    <row r="2" spans="1:17" ht="46.5" x14ac:dyDescent="0.7">
      <c r="A2" s="33" t="s">
        <v>97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7" ht="15" customHeight="1" thickBot="1" x14ac:dyDescent="0.35">
      <c r="A3" s="32"/>
    </row>
    <row r="4" spans="1:17" ht="48" x14ac:dyDescent="0.25">
      <c r="A4" s="36" t="s">
        <v>10</v>
      </c>
      <c r="B4" s="37" t="s">
        <v>82</v>
      </c>
      <c r="C4" s="38" t="s">
        <v>1</v>
      </c>
      <c r="D4" s="38" t="s">
        <v>2</v>
      </c>
      <c r="E4" s="39" t="s">
        <v>3</v>
      </c>
      <c r="F4" s="40" t="s">
        <v>83</v>
      </c>
      <c r="G4" s="39" t="s">
        <v>84</v>
      </c>
      <c r="H4" s="41" t="s">
        <v>85</v>
      </c>
      <c r="I4" s="41" t="s">
        <v>86</v>
      </c>
      <c r="J4" s="42" t="s">
        <v>28</v>
      </c>
      <c r="K4" s="43" t="s">
        <v>87</v>
      </c>
      <c r="L4" s="43" t="s">
        <v>88</v>
      </c>
      <c r="M4" s="67" t="s">
        <v>89</v>
      </c>
    </row>
    <row r="5" spans="1:17" x14ac:dyDescent="0.25">
      <c r="A5" s="56" t="s">
        <v>34</v>
      </c>
      <c r="B5" s="13">
        <v>2</v>
      </c>
      <c r="C5" t="s">
        <v>35</v>
      </c>
      <c r="D5" s="13" t="s">
        <v>7</v>
      </c>
      <c r="E5" s="8">
        <v>6760486.2913756091</v>
      </c>
      <c r="F5" s="8">
        <v>1294912.1715960742</v>
      </c>
      <c r="G5" s="8">
        <f t="shared" ref="G5:G36" si="0">E5-F5</f>
        <v>5465574.1197795346</v>
      </c>
      <c r="H5" s="15">
        <v>774641.8298339576</v>
      </c>
      <c r="I5" s="16">
        <v>26390.62999999999</v>
      </c>
      <c r="J5" s="9">
        <f t="shared" ref="J5:J36" si="1">G5/H5</f>
        <v>7.0556144908299956</v>
      </c>
      <c r="K5" s="44">
        <f>+IF(D5="Weekday",J5/$F$86,IF(D5="Saturday",J5/$F$87,IF(D5="Sunday",J5/$F$88,"NA")))</f>
        <v>0.5612104830963307</v>
      </c>
      <c r="L5" s="68">
        <f t="shared" ref="L5:L36" si="2">H5/I5</f>
        <v>29.352911614234216</v>
      </c>
      <c r="M5" s="45"/>
    </row>
    <row r="6" spans="1:17" x14ac:dyDescent="0.25">
      <c r="A6" s="56" t="s">
        <v>34</v>
      </c>
      <c r="B6" s="13">
        <v>3</v>
      </c>
      <c r="C6" t="s">
        <v>35</v>
      </c>
      <c r="D6" s="13" t="s">
        <v>7</v>
      </c>
      <c r="E6" s="8">
        <v>10248135.059052255</v>
      </c>
      <c r="F6" s="8">
        <v>2203073.6050665551</v>
      </c>
      <c r="G6" s="8">
        <f t="shared" si="0"/>
        <v>8045061.4539857004</v>
      </c>
      <c r="H6" s="15">
        <v>929157.26878542686</v>
      </c>
      <c r="I6" s="16">
        <v>43237.419999999845</v>
      </c>
      <c r="J6" s="9">
        <f t="shared" si="1"/>
        <v>8.6584496772026771</v>
      </c>
      <c r="K6" s="44">
        <f>+IF(D6="Weekday",J6/$F$86,IF(D6="Saturday",J6/$F$87,IF(D6="Sunday",J6/$F$88,"NA")))</f>
        <v>0.68870156278004979</v>
      </c>
      <c r="L6" s="68">
        <f t="shared" si="2"/>
        <v>21.48965569142262</v>
      </c>
      <c r="M6" s="45"/>
    </row>
    <row r="7" spans="1:17" x14ac:dyDescent="0.25">
      <c r="A7" s="56" t="s">
        <v>34</v>
      </c>
      <c r="B7" s="13">
        <v>4</v>
      </c>
      <c r="C7" t="s">
        <v>35</v>
      </c>
      <c r="D7" s="13" t="s">
        <v>7</v>
      </c>
      <c r="E7" s="8">
        <v>9171151.4498971682</v>
      </c>
      <c r="F7" s="8">
        <v>1189698.0990920544</v>
      </c>
      <c r="G7" s="8">
        <f t="shared" si="0"/>
        <v>7981453.350805114</v>
      </c>
      <c r="H7" s="15">
        <v>663906.32591332775</v>
      </c>
      <c r="I7" s="16">
        <v>38410.469999999994</v>
      </c>
      <c r="J7" s="9">
        <f t="shared" si="1"/>
        <v>12.021957073274045</v>
      </c>
      <c r="K7" s="44">
        <f>+IF(D7="Weekday",J7/$F$86,IF(D7="Saturday",J7/$F$87,IF(D7="Sunday",J7/$F$88,"NA")))</f>
        <v>0.95623823348401271</v>
      </c>
      <c r="L7" s="68">
        <f t="shared" si="2"/>
        <v>17.284514506417857</v>
      </c>
      <c r="M7" s="45"/>
    </row>
    <row r="8" spans="1:17" x14ac:dyDescent="0.25">
      <c r="A8" s="56" t="s">
        <v>34</v>
      </c>
      <c r="B8" s="13">
        <v>6</v>
      </c>
      <c r="C8" t="s">
        <v>35</v>
      </c>
      <c r="D8" s="13" t="s">
        <v>7</v>
      </c>
      <c r="E8" s="8">
        <v>10894906.712153111</v>
      </c>
      <c r="F8" s="8">
        <v>1574322.6281055005</v>
      </c>
      <c r="G8" s="8">
        <f t="shared" si="0"/>
        <v>9320584.0840476099</v>
      </c>
      <c r="H8" s="15">
        <v>877141.92072496656</v>
      </c>
      <c r="I8" s="16">
        <v>44013.259999999791</v>
      </c>
      <c r="J8" s="9">
        <f t="shared" si="1"/>
        <v>10.626084404156689</v>
      </c>
      <c r="K8" s="44">
        <f>+IF(D8="Weekday",J8/$F$86,IF(D8="Saturday",J8/$F$87,IF(D8="Sunday",J8/$F$88,"NA")))</f>
        <v>0.84520915501119465</v>
      </c>
      <c r="L8" s="68">
        <f t="shared" si="2"/>
        <v>19.929037765549989</v>
      </c>
      <c r="M8" s="45"/>
    </row>
    <row r="9" spans="1:17" x14ac:dyDescent="0.25">
      <c r="A9" s="56" t="s">
        <v>34</v>
      </c>
      <c r="B9" s="13">
        <v>7</v>
      </c>
      <c r="C9" t="s">
        <v>35</v>
      </c>
      <c r="D9" s="13" t="s">
        <v>7</v>
      </c>
      <c r="E9" s="8">
        <v>4112325.3426828543</v>
      </c>
      <c r="F9" s="8">
        <v>272716.71220759582</v>
      </c>
      <c r="G9" s="8">
        <f t="shared" si="0"/>
        <v>3839608.6304752585</v>
      </c>
      <c r="H9" s="15">
        <v>189379.80876604409</v>
      </c>
      <c r="I9" s="16">
        <v>18163.38000000003</v>
      </c>
      <c r="J9" s="9">
        <f t="shared" si="1"/>
        <v>20.274646254493963</v>
      </c>
      <c r="K9" s="44">
        <f>+IF(D9="Weekday",J9/$F$86,IF(D9="Saturday",J9/$F$87,IF(D9="Sunday",J9/$F$88,"NA")))</f>
        <v>1.6126652092287519</v>
      </c>
      <c r="L9" s="68">
        <f t="shared" si="2"/>
        <v>10.426462958218337</v>
      </c>
      <c r="M9" s="45"/>
    </row>
    <row r="10" spans="1:17" x14ac:dyDescent="0.25">
      <c r="A10" s="56" t="s">
        <v>40</v>
      </c>
      <c r="B10">
        <v>7</v>
      </c>
      <c r="C10" t="s">
        <v>35</v>
      </c>
      <c r="D10" t="s">
        <v>7</v>
      </c>
      <c r="E10" s="8">
        <v>119682.40377980347</v>
      </c>
      <c r="F10" s="8">
        <v>9197.5306199910046</v>
      </c>
      <c r="G10" s="8">
        <f t="shared" si="0"/>
        <v>110484.87315981247</v>
      </c>
      <c r="H10" s="12">
        <v>9267</v>
      </c>
      <c r="I10" s="16">
        <v>1016.5</v>
      </c>
      <c r="J10" s="9">
        <f t="shared" si="1"/>
        <v>11.922399175548987</v>
      </c>
      <c r="K10" s="44">
        <f>+IF(D10="Weekday",J10/$F$86,IF(D10="Saturday",J10/$F$87,IF(D10="Sunday",J10/$F$88,"NA")))</f>
        <v>0.948319300845197</v>
      </c>
      <c r="L10" s="68">
        <f t="shared" si="2"/>
        <v>9.1165764879488442</v>
      </c>
      <c r="M10" s="45"/>
      <c r="N10" s="3"/>
      <c r="O10" s="3"/>
      <c r="P10" s="3"/>
      <c r="Q10" s="3"/>
    </row>
    <row r="11" spans="1:17" x14ac:dyDescent="0.25">
      <c r="A11" s="56" t="s">
        <v>34</v>
      </c>
      <c r="B11" s="13">
        <v>9</v>
      </c>
      <c r="C11" t="s">
        <v>35</v>
      </c>
      <c r="D11" s="13" t="s">
        <v>7</v>
      </c>
      <c r="E11" s="8">
        <v>5202422.3498534001</v>
      </c>
      <c r="F11" s="8">
        <v>482365.88346123497</v>
      </c>
      <c r="G11" s="8">
        <f t="shared" si="0"/>
        <v>4720056.466392165</v>
      </c>
      <c r="H11" s="15">
        <v>312473.68843038392</v>
      </c>
      <c r="I11" s="16">
        <v>19995.84000000004</v>
      </c>
      <c r="J11" s="9">
        <f t="shared" si="1"/>
        <v>15.105452526585282</v>
      </c>
      <c r="K11" s="44">
        <f>+IF(D11="Weekday",J11/$F$86,IF(D11="Saturday",J11/$F$87,IF(D11="Sunday",J11/$F$88,"NA")))</f>
        <v>1.2015024801668797</v>
      </c>
      <c r="L11" s="68">
        <f t="shared" si="2"/>
        <v>15.626934823962548</v>
      </c>
      <c r="M11" s="45"/>
      <c r="N11" s="47"/>
      <c r="O11" s="48"/>
      <c r="P11" s="47"/>
      <c r="Q11" s="49"/>
    </row>
    <row r="12" spans="1:17" x14ac:dyDescent="0.25">
      <c r="A12" s="56" t="s">
        <v>34</v>
      </c>
      <c r="B12" s="13">
        <v>10</v>
      </c>
      <c r="C12" t="s">
        <v>35</v>
      </c>
      <c r="D12" s="13" t="s">
        <v>7</v>
      </c>
      <c r="E12" s="8">
        <v>9365521.7539531514</v>
      </c>
      <c r="F12" s="8">
        <v>970120.20933119161</v>
      </c>
      <c r="G12" s="8">
        <f t="shared" si="0"/>
        <v>8395401.5446219593</v>
      </c>
      <c r="H12" s="15">
        <v>918028.8436728958</v>
      </c>
      <c r="I12" s="16">
        <v>38751.780000000093</v>
      </c>
      <c r="J12" s="9">
        <f t="shared" si="1"/>
        <v>9.1450302487590864</v>
      </c>
      <c r="K12" s="44">
        <f>+IF(D12="Weekday",J12/$F$86,IF(D12="Saturday",J12/$F$87,IF(D12="Sunday",J12/$F$88,"NA")))</f>
        <v>0.72740465773845042</v>
      </c>
      <c r="L12" s="68">
        <f t="shared" si="2"/>
        <v>23.689978722858502</v>
      </c>
      <c r="M12" s="45"/>
      <c r="N12" s="48"/>
      <c r="O12" s="48"/>
      <c r="P12" s="47"/>
      <c r="Q12" s="49"/>
    </row>
    <row r="13" spans="1:17" x14ac:dyDescent="0.25">
      <c r="A13" s="56" t="s">
        <v>34</v>
      </c>
      <c r="B13" s="13">
        <v>11</v>
      </c>
      <c r="C13" t="s">
        <v>35</v>
      </c>
      <c r="D13" s="13" t="s">
        <v>7</v>
      </c>
      <c r="E13" s="8">
        <v>7999448.479115448</v>
      </c>
      <c r="F13" s="8">
        <v>938264.20302433555</v>
      </c>
      <c r="G13" s="8">
        <f t="shared" si="0"/>
        <v>7061184.2760911128</v>
      </c>
      <c r="H13" s="15">
        <v>638722.82392997306</v>
      </c>
      <c r="I13" s="16">
        <v>32284.940000000097</v>
      </c>
      <c r="J13" s="9">
        <f t="shared" si="1"/>
        <v>11.055161975651071</v>
      </c>
      <c r="K13" s="44">
        <f>+IF(D13="Weekday",J13/$F$86,IF(D13="Saturday",J13/$F$87,IF(D13="Sunday",J13/$F$88,"NA")))</f>
        <v>0.87933840505697414</v>
      </c>
      <c r="L13" s="68">
        <f t="shared" si="2"/>
        <v>19.783924762752267</v>
      </c>
      <c r="M13" s="45"/>
      <c r="N13" s="48"/>
      <c r="O13" s="48"/>
      <c r="P13" s="47"/>
    </row>
    <row r="14" spans="1:17" x14ac:dyDescent="0.25">
      <c r="A14" s="56" t="s">
        <v>34</v>
      </c>
      <c r="B14" s="13">
        <v>14</v>
      </c>
      <c r="C14" t="s">
        <v>35</v>
      </c>
      <c r="D14" s="13" t="s">
        <v>7</v>
      </c>
      <c r="E14" s="8">
        <v>8214132.7607333465</v>
      </c>
      <c r="F14" s="8">
        <v>905672.41957782314</v>
      </c>
      <c r="G14" s="8">
        <f t="shared" si="0"/>
        <v>7308460.3411555234</v>
      </c>
      <c r="H14" s="15">
        <v>653547.40837517544</v>
      </c>
      <c r="I14" s="16">
        <v>34269.560000000041</v>
      </c>
      <c r="J14" s="9">
        <f t="shared" si="1"/>
        <v>11.182754682365795</v>
      </c>
      <c r="K14" s="44">
        <f>+IF(D14="Weekday",J14/$F$86,IF(D14="Saturday",J14/$F$87,IF(D14="Sunday",J14/$F$88,"NA")))</f>
        <v>0.88948725384512772</v>
      </c>
      <c r="L14" s="68">
        <f t="shared" si="2"/>
        <v>19.07078492910836</v>
      </c>
      <c r="M14" s="45"/>
      <c r="N14" s="47"/>
      <c r="O14" s="48"/>
      <c r="P14" s="47"/>
    </row>
    <row r="15" spans="1:17" x14ac:dyDescent="0.25">
      <c r="A15" s="56" t="s">
        <v>34</v>
      </c>
      <c r="B15" s="13">
        <v>17</v>
      </c>
      <c r="C15" t="s">
        <v>35</v>
      </c>
      <c r="D15" s="13" t="s">
        <v>7</v>
      </c>
      <c r="E15" s="8">
        <v>8096667.1854813695</v>
      </c>
      <c r="F15" s="8">
        <v>935405.97503395972</v>
      </c>
      <c r="G15" s="8">
        <f t="shared" si="0"/>
        <v>7161261.2104474101</v>
      </c>
      <c r="H15" s="15">
        <v>746146.92230512085</v>
      </c>
      <c r="I15" s="16">
        <v>32521.879999999899</v>
      </c>
      <c r="J15" s="9">
        <f t="shared" si="1"/>
        <v>9.5976556310433523</v>
      </c>
      <c r="K15" s="44">
        <f>+IF(D15="Weekday",J15/$F$86,IF(D15="Saturday",J15/$F$87,IF(D15="Sunday",J15/$F$88,"NA")))</f>
        <v>0.76340692370459062</v>
      </c>
      <c r="L15" s="68">
        <f t="shared" si="2"/>
        <v>22.942920959831447</v>
      </c>
      <c r="M15" s="45"/>
    </row>
    <row r="16" spans="1:17" x14ac:dyDescent="0.25">
      <c r="A16" s="56" t="s">
        <v>34</v>
      </c>
      <c r="B16" s="13">
        <v>18</v>
      </c>
      <c r="C16" t="s">
        <v>35</v>
      </c>
      <c r="D16" s="13" t="s">
        <v>7</v>
      </c>
      <c r="E16" s="8">
        <v>10563612.944337485</v>
      </c>
      <c r="F16" s="8">
        <v>1423706.8862276613</v>
      </c>
      <c r="G16" s="8">
        <f t="shared" si="0"/>
        <v>9139906.0581098236</v>
      </c>
      <c r="H16" s="15">
        <v>1246767.3151508027</v>
      </c>
      <c r="I16" s="16">
        <v>43336.079999999842</v>
      </c>
      <c r="J16" s="9">
        <f t="shared" si="1"/>
        <v>7.3308835955523159</v>
      </c>
      <c r="K16" s="44">
        <f>+IF(D16="Weekday",J16/$F$86,IF(D16="Saturday",J16/$F$87,IF(D16="Sunday",J16/$F$88,"NA")))</f>
        <v>0.5831056571373</v>
      </c>
      <c r="L16" s="68">
        <f t="shared" si="2"/>
        <v>28.769729868294672</v>
      </c>
      <c r="M16" s="45"/>
    </row>
    <row r="17" spans="1:13" x14ac:dyDescent="0.25">
      <c r="A17" s="56" t="s">
        <v>34</v>
      </c>
      <c r="B17" s="13">
        <v>21</v>
      </c>
      <c r="C17" t="s">
        <v>35</v>
      </c>
      <c r="D17" s="13" t="s">
        <v>7</v>
      </c>
      <c r="E17" s="8">
        <v>13351486.901208643</v>
      </c>
      <c r="F17" s="8">
        <v>1857629.5908037324</v>
      </c>
      <c r="G17" s="8">
        <f t="shared" si="0"/>
        <v>11493857.31040491</v>
      </c>
      <c r="H17" s="15">
        <v>1576759.9157765703</v>
      </c>
      <c r="I17" s="16">
        <v>55727.649999999929</v>
      </c>
      <c r="J17" s="9">
        <f t="shared" si="1"/>
        <v>7.289541797328142</v>
      </c>
      <c r="K17" s="44">
        <f>+IF(D17="Weekday",J17/$F$86,IF(D17="Saturday",J17/$F$87,IF(D17="Sunday",J17/$F$88,"NA")))</f>
        <v>0.57981729003850035</v>
      </c>
      <c r="L17" s="68">
        <f t="shared" si="2"/>
        <v>28.294032060863366</v>
      </c>
      <c r="M17" s="45"/>
    </row>
    <row r="18" spans="1:13" x14ac:dyDescent="0.25">
      <c r="A18" s="56" t="s">
        <v>34</v>
      </c>
      <c r="B18" s="13">
        <v>22</v>
      </c>
      <c r="C18" t="s">
        <v>35</v>
      </c>
      <c r="D18" s="13" t="s">
        <v>7</v>
      </c>
      <c r="E18" s="8">
        <v>9082397.5054313317</v>
      </c>
      <c r="F18" s="8">
        <v>966549.40873644431</v>
      </c>
      <c r="G18" s="8">
        <f t="shared" si="0"/>
        <v>8115848.0966948876</v>
      </c>
      <c r="H18" s="15">
        <v>648578.19757724099</v>
      </c>
      <c r="I18" s="16">
        <v>39059.340000000004</v>
      </c>
      <c r="J18" s="9">
        <f t="shared" si="1"/>
        <v>12.513291576885528</v>
      </c>
      <c r="K18" s="44">
        <f>+IF(D18="Weekday",J18/$F$86,IF(D18="Saturday",J18/$F$87,IF(D18="Sunday",J18/$F$88,"NA")))</f>
        <v>0.99531946085153278</v>
      </c>
      <c r="L18" s="68">
        <f t="shared" si="2"/>
        <v>16.604945131618734</v>
      </c>
      <c r="M18" s="45"/>
    </row>
    <row r="19" spans="1:13" x14ac:dyDescent="0.25">
      <c r="A19" s="56" t="s">
        <v>34</v>
      </c>
      <c r="B19" s="13">
        <v>25</v>
      </c>
      <c r="C19" t="s">
        <v>35</v>
      </c>
      <c r="D19" s="13" t="s">
        <v>7</v>
      </c>
      <c r="E19" s="8">
        <v>2977669.988479712</v>
      </c>
      <c r="F19" s="8">
        <v>226611.01598567958</v>
      </c>
      <c r="G19" s="8">
        <f t="shared" si="0"/>
        <v>2751058.9724940322</v>
      </c>
      <c r="H19" s="15">
        <v>109273.22928133924</v>
      </c>
      <c r="I19" s="16">
        <v>11833.699999999981</v>
      </c>
      <c r="J19" s="9">
        <f t="shared" si="1"/>
        <v>25.175964786499037</v>
      </c>
      <c r="K19" s="44">
        <f>+IF(D19="Weekday",J19/$F$86,IF(D19="Saturday",J19/$F$87,IF(D19="Sunday",J19/$F$88,"NA")))</f>
        <v>2.0025208829947356</v>
      </c>
      <c r="L19" s="68">
        <f t="shared" si="2"/>
        <v>9.2340712779045795</v>
      </c>
      <c r="M19" s="45"/>
    </row>
    <row r="20" spans="1:13" x14ac:dyDescent="0.25">
      <c r="A20" s="56" t="s">
        <v>34</v>
      </c>
      <c r="B20" s="13">
        <v>54</v>
      </c>
      <c r="C20" t="s">
        <v>35</v>
      </c>
      <c r="D20" s="13" t="s">
        <v>7</v>
      </c>
      <c r="E20" s="8">
        <v>8195222.6241208361</v>
      </c>
      <c r="F20" s="8">
        <v>962149.56062197406</v>
      </c>
      <c r="G20" s="8">
        <f t="shared" si="0"/>
        <v>7233073.0634988621</v>
      </c>
      <c r="H20" s="15">
        <v>765008.26779624412</v>
      </c>
      <c r="I20" s="16">
        <v>33911.850000000049</v>
      </c>
      <c r="J20" s="9">
        <f t="shared" si="1"/>
        <v>9.4548952841191412</v>
      </c>
      <c r="K20" s="44">
        <f>+IF(D20="Weekday",J20/$F$86,IF(D20="Saturday",J20/$F$87,IF(D20="Sunday",J20/$F$88,"NA")))</f>
        <v>0.75205162596709874</v>
      </c>
      <c r="L20" s="68">
        <f t="shared" si="2"/>
        <v>22.558729995451237</v>
      </c>
      <c r="M20" s="45"/>
    </row>
    <row r="21" spans="1:13" x14ac:dyDescent="0.25">
      <c r="A21" s="56" t="s">
        <v>34</v>
      </c>
      <c r="B21" s="13">
        <v>61</v>
      </c>
      <c r="C21" t="s">
        <v>35</v>
      </c>
      <c r="D21" s="13" t="s">
        <v>7</v>
      </c>
      <c r="E21" s="8">
        <v>5151138.6252494585</v>
      </c>
      <c r="F21" s="8">
        <v>705061.82027321332</v>
      </c>
      <c r="G21" s="8">
        <f t="shared" si="0"/>
        <v>4446076.8049762454</v>
      </c>
      <c r="H21" s="15">
        <v>348692.05517911148</v>
      </c>
      <c r="I21" s="16">
        <v>21518.149999999991</v>
      </c>
      <c r="J21" s="9">
        <f t="shared" si="1"/>
        <v>12.750725859505012</v>
      </c>
      <c r="K21" s="44">
        <f>+IF(D21="Weekday",J21/$F$86,IF(D21="Saturday",J21/$F$87,IF(D21="Sunday",J21/$F$88,"NA")))</f>
        <v>1.0142052161072506</v>
      </c>
      <c r="L21" s="68">
        <f t="shared" si="2"/>
        <v>16.204555464996371</v>
      </c>
      <c r="M21" s="45"/>
    </row>
    <row r="22" spans="1:13" x14ac:dyDescent="0.25">
      <c r="A22" s="56" t="s">
        <v>34</v>
      </c>
      <c r="B22" s="13">
        <v>62</v>
      </c>
      <c r="C22" t="s">
        <v>35</v>
      </c>
      <c r="D22" s="13" t="s">
        <v>7</v>
      </c>
      <c r="E22" s="8">
        <v>5131439.5082583455</v>
      </c>
      <c r="F22" s="8">
        <v>529339.5041561434</v>
      </c>
      <c r="G22" s="8">
        <f t="shared" si="0"/>
        <v>4602100.0041022021</v>
      </c>
      <c r="H22" s="15">
        <v>366796.50797412457</v>
      </c>
      <c r="I22" s="16">
        <v>20183.670000000078</v>
      </c>
      <c r="J22" s="9">
        <f t="shared" si="1"/>
        <v>12.546738870335304</v>
      </c>
      <c r="K22" s="44">
        <f>+IF(D22="Weekday",J22/$F$86,IF(D22="Saturday",J22/$F$87,IF(D22="Sunday",J22/$F$88,"NA")))</f>
        <v>0.99797989131292053</v>
      </c>
      <c r="L22" s="68">
        <f t="shared" si="2"/>
        <v>18.17293425695739</v>
      </c>
      <c r="M22" s="45"/>
    </row>
    <row r="23" spans="1:13" x14ac:dyDescent="0.25">
      <c r="A23" s="56" t="s">
        <v>34</v>
      </c>
      <c r="B23" s="13">
        <v>63</v>
      </c>
      <c r="C23" t="s">
        <v>35</v>
      </c>
      <c r="D23" s="13" t="s">
        <v>7</v>
      </c>
      <c r="E23" s="8">
        <v>7603472.8302449258</v>
      </c>
      <c r="F23" s="8">
        <v>1135096.9854667881</v>
      </c>
      <c r="G23" s="8">
        <f t="shared" si="0"/>
        <v>6468375.8447781373</v>
      </c>
      <c r="H23" s="15">
        <v>687124.00936650729</v>
      </c>
      <c r="I23" s="16">
        <v>32261.209999999803</v>
      </c>
      <c r="J23" s="9">
        <f t="shared" si="1"/>
        <v>9.4136949904306864</v>
      </c>
      <c r="K23" s="44">
        <f>+IF(D23="Weekday",J23/$F$86,IF(D23="Saturday",J23/$F$87,IF(D23="Sunday",J23/$F$88,"NA")))</f>
        <v>0.74877451427758401</v>
      </c>
      <c r="L23" s="68">
        <f t="shared" si="2"/>
        <v>21.298767447548045</v>
      </c>
      <c r="M23" s="45"/>
    </row>
    <row r="24" spans="1:13" x14ac:dyDescent="0.25">
      <c r="A24" s="56" t="s">
        <v>34</v>
      </c>
      <c r="B24" s="13">
        <v>64</v>
      </c>
      <c r="C24" t="s">
        <v>35</v>
      </c>
      <c r="D24" s="13" t="s">
        <v>7</v>
      </c>
      <c r="E24" s="8">
        <v>7034997.0506615313</v>
      </c>
      <c r="F24" s="8">
        <v>736432.55861703621</v>
      </c>
      <c r="G24" s="8">
        <f t="shared" si="0"/>
        <v>6298564.4920444954</v>
      </c>
      <c r="H24" s="15">
        <v>587185.79000386025</v>
      </c>
      <c r="I24" s="16">
        <v>28599.860000000179</v>
      </c>
      <c r="J24" s="9">
        <f t="shared" si="1"/>
        <v>10.726697749281513</v>
      </c>
      <c r="K24" s="44">
        <f>+IF(D24="Weekday",J24/$F$86,IF(D24="Saturday",J24/$F$87,IF(D24="Sunday",J24/$F$88,"NA")))</f>
        <v>0.85321203896932851</v>
      </c>
      <c r="L24" s="68">
        <f t="shared" si="2"/>
        <v>20.531072180208454</v>
      </c>
      <c r="M24" s="45"/>
    </row>
    <row r="25" spans="1:13" x14ac:dyDescent="0.25">
      <c r="A25" s="56" t="s">
        <v>40</v>
      </c>
      <c r="B25">
        <v>67</v>
      </c>
      <c r="C25" t="s">
        <v>35</v>
      </c>
      <c r="D25" t="s">
        <v>7</v>
      </c>
      <c r="E25" s="8">
        <v>1206817.1796835926</v>
      </c>
      <c r="F25" s="8">
        <v>77492.722732403039</v>
      </c>
      <c r="G25" s="8">
        <f t="shared" si="0"/>
        <v>1129324.4569511896</v>
      </c>
      <c r="H25" s="12">
        <v>73344</v>
      </c>
      <c r="I25" s="12">
        <v>11605.9</v>
      </c>
      <c r="J25" s="9">
        <f t="shared" si="1"/>
        <v>15.397639301799595</v>
      </c>
      <c r="K25" s="44">
        <f>+IF(D25="Weekday",J25/$F$86,IF(D25="Saturday",J25/$F$87,IF(D25="Sunday",J25/$F$88,"NA")))</f>
        <v>1.2247433022789014</v>
      </c>
      <c r="L25" s="68">
        <f t="shared" si="2"/>
        <v>6.3195443696740456</v>
      </c>
      <c r="M25" s="45"/>
    </row>
    <row r="26" spans="1:13" x14ac:dyDescent="0.25">
      <c r="A26" s="56" t="s">
        <v>34</v>
      </c>
      <c r="B26" s="13">
        <v>68</v>
      </c>
      <c r="C26" t="s">
        <v>35</v>
      </c>
      <c r="D26" s="13" t="s">
        <v>7</v>
      </c>
      <c r="E26" s="8">
        <v>6351819.8477729233</v>
      </c>
      <c r="F26" s="8">
        <v>508657.41725567647</v>
      </c>
      <c r="G26" s="8">
        <f t="shared" si="0"/>
        <v>5843162.4305172469</v>
      </c>
      <c r="H26" s="15">
        <v>435696.87059697596</v>
      </c>
      <c r="I26" s="16">
        <v>26952.960000000108</v>
      </c>
      <c r="J26" s="9">
        <f t="shared" si="1"/>
        <v>13.411072754576269</v>
      </c>
      <c r="K26" s="44">
        <f>+IF(D26="Weekday",J26/$F$86,IF(D26="Saturday",J26/$F$87,IF(D26="Sunday",J26/$F$88,"NA")))</f>
        <v>1.0667298545318347</v>
      </c>
      <c r="L26" s="68">
        <f t="shared" si="2"/>
        <v>16.16508430231686</v>
      </c>
      <c r="M26" s="45"/>
    </row>
    <row r="27" spans="1:13" x14ac:dyDescent="0.25">
      <c r="A27" s="56" t="s">
        <v>34</v>
      </c>
      <c r="B27" s="13">
        <v>70</v>
      </c>
      <c r="C27" t="s">
        <v>35</v>
      </c>
      <c r="D27" s="13" t="s">
        <v>7</v>
      </c>
      <c r="E27" s="8">
        <v>787703.49993286468</v>
      </c>
      <c r="F27" s="8">
        <v>76179.927940036796</v>
      </c>
      <c r="G27" s="8">
        <f t="shared" si="0"/>
        <v>711523.57199282793</v>
      </c>
      <c r="H27" s="15">
        <v>42666.672023643936</v>
      </c>
      <c r="I27" s="16">
        <v>3232.0799999999863</v>
      </c>
      <c r="J27" s="9">
        <f t="shared" si="1"/>
        <v>16.676331624799182</v>
      </c>
      <c r="K27" s="44">
        <f>+IF(D27="Weekday",J27/$F$86,IF(D27="Saturday",J27/$F$87,IF(D27="Sunday",J27/$F$88,"NA")))</f>
        <v>1.3264517413177455</v>
      </c>
      <c r="L27" s="68">
        <f t="shared" si="2"/>
        <v>13.200995032191072</v>
      </c>
      <c r="M27" s="45"/>
    </row>
    <row r="28" spans="1:13" x14ac:dyDescent="0.25">
      <c r="A28" s="56" t="s">
        <v>40</v>
      </c>
      <c r="B28">
        <v>70</v>
      </c>
      <c r="C28" t="s">
        <v>35</v>
      </c>
      <c r="D28" t="s">
        <v>7</v>
      </c>
      <c r="E28" s="8">
        <v>28346.428450843687</v>
      </c>
      <c r="F28" s="8">
        <v>1047.2884356036282</v>
      </c>
      <c r="G28" s="8">
        <f t="shared" si="0"/>
        <v>27299.14001524006</v>
      </c>
      <c r="H28" s="12">
        <v>1574</v>
      </c>
      <c r="I28" s="16">
        <v>258.77999999999997</v>
      </c>
      <c r="J28" s="9">
        <f t="shared" si="1"/>
        <v>17.343799247293557</v>
      </c>
      <c r="K28" s="44">
        <f>+IF(D28="Weekday",J28/$F$86,IF(D28="Saturday",J28/$F$87,IF(D28="Sunday",J28/$F$88,"NA")))</f>
        <v>1.379542769371797</v>
      </c>
      <c r="L28" s="68">
        <f t="shared" si="2"/>
        <v>6.0823865831980841</v>
      </c>
      <c r="M28" s="45"/>
    </row>
    <row r="29" spans="1:13" x14ac:dyDescent="0.25">
      <c r="A29" s="56" t="s">
        <v>34</v>
      </c>
      <c r="B29" s="13">
        <v>71</v>
      </c>
      <c r="C29" t="s">
        <v>35</v>
      </c>
      <c r="D29" s="13" t="s">
        <v>7</v>
      </c>
      <c r="E29" s="8">
        <v>3697279.9473761041</v>
      </c>
      <c r="F29" s="8">
        <v>229589.63309729125</v>
      </c>
      <c r="G29" s="8">
        <f t="shared" si="0"/>
        <v>3467690.3142788126</v>
      </c>
      <c r="H29" s="15">
        <v>163952.41913616506</v>
      </c>
      <c r="I29" s="16">
        <v>13919.759999999953</v>
      </c>
      <c r="J29" s="9">
        <f t="shared" si="1"/>
        <v>21.150589497547099</v>
      </c>
      <c r="K29" s="44">
        <f>+IF(D29="Weekday",J29/$F$86,IF(D29="Saturday",J29/$F$87,IF(D29="Sunday",J29/$F$88,"NA")))</f>
        <v>1.6823385922115839</v>
      </c>
      <c r="L29" s="68">
        <f t="shared" si="2"/>
        <v>11.778394105657398</v>
      </c>
      <c r="M29" s="45"/>
    </row>
    <row r="30" spans="1:13" x14ac:dyDescent="0.25">
      <c r="A30" s="56" t="s">
        <v>34</v>
      </c>
      <c r="B30" s="13">
        <v>74</v>
      </c>
      <c r="C30" t="s">
        <v>35</v>
      </c>
      <c r="D30" s="13" t="s">
        <v>7</v>
      </c>
      <c r="E30" s="8">
        <v>7003644.6027922789</v>
      </c>
      <c r="F30" s="8">
        <v>891677.34017862007</v>
      </c>
      <c r="G30" s="8">
        <f t="shared" si="0"/>
        <v>6111967.2626136588</v>
      </c>
      <c r="H30" s="15">
        <v>544498.09318310209</v>
      </c>
      <c r="I30" s="16">
        <v>29419.260000000093</v>
      </c>
      <c r="J30" s="9">
        <f t="shared" si="1"/>
        <v>11.224956228741734</v>
      </c>
      <c r="K30" s="44">
        <f>+IF(D30="Weekday",J30/$F$86,IF(D30="Saturday",J30/$F$87,IF(D30="Sunday",J30/$F$88,"NA")))</f>
        <v>0.89284400615349635</v>
      </c>
      <c r="L30" s="68">
        <f t="shared" si="2"/>
        <v>18.508218533814254</v>
      </c>
      <c r="M30" s="45"/>
    </row>
    <row r="31" spans="1:13" x14ac:dyDescent="0.25">
      <c r="A31" s="56" t="s">
        <v>34</v>
      </c>
      <c r="B31" s="13">
        <v>75</v>
      </c>
      <c r="C31" t="s">
        <v>35</v>
      </c>
      <c r="D31" s="13" t="s">
        <v>7</v>
      </c>
      <c r="E31" s="8">
        <v>1327650.8372777048</v>
      </c>
      <c r="F31" s="8">
        <v>89494.216215319029</v>
      </c>
      <c r="G31" s="8">
        <f t="shared" si="0"/>
        <v>1238156.6210623858</v>
      </c>
      <c r="H31" s="15">
        <v>77866.387352189864</v>
      </c>
      <c r="I31" s="16">
        <v>5421.2800000000025</v>
      </c>
      <c r="J31" s="9">
        <f t="shared" si="1"/>
        <v>15.901041041780973</v>
      </c>
      <c r="K31" s="44">
        <f>+IF(D31="Weekday",J31/$F$86,IF(D31="Saturday",J31/$F$87,IF(D31="Sunday",J31/$F$88,"NA")))</f>
        <v>1.2647843694394811</v>
      </c>
      <c r="L31" s="68">
        <f t="shared" si="2"/>
        <v>14.363100107758653</v>
      </c>
      <c r="M31" s="45"/>
    </row>
    <row r="32" spans="1:13" x14ac:dyDescent="0.25">
      <c r="A32" s="56" t="s">
        <v>40</v>
      </c>
      <c r="B32">
        <v>75</v>
      </c>
      <c r="C32" t="s">
        <v>35</v>
      </c>
      <c r="D32" t="s">
        <v>7</v>
      </c>
      <c r="E32" s="8">
        <v>43777.385442492887</v>
      </c>
      <c r="F32" s="8">
        <v>4203.6622049545813</v>
      </c>
      <c r="G32" s="8">
        <f t="shared" si="0"/>
        <v>39573.723237538303</v>
      </c>
      <c r="H32" s="12">
        <v>5600</v>
      </c>
      <c r="I32" s="16">
        <v>409.07000000000005</v>
      </c>
      <c r="J32" s="9">
        <f t="shared" si="1"/>
        <v>7.0667362924175539</v>
      </c>
      <c r="K32" s="44">
        <f>+IF(D32="Weekday",J32/$F$86,IF(D32="Saturday",J32/$F$87,IF(D32="Sunday",J32/$F$88,"NA")))</f>
        <v>0.56209512208134993</v>
      </c>
      <c r="L32" s="68">
        <f t="shared" si="2"/>
        <v>13.689588578971813</v>
      </c>
      <c r="M32" s="45"/>
    </row>
    <row r="33" spans="1:13" x14ac:dyDescent="0.25">
      <c r="A33" s="56" t="s">
        <v>34</v>
      </c>
      <c r="B33" s="13">
        <v>2</v>
      </c>
      <c r="C33" t="s">
        <v>35</v>
      </c>
      <c r="D33" s="13" t="s">
        <v>15</v>
      </c>
      <c r="E33" s="8">
        <v>1003766.2300282442</v>
      </c>
      <c r="F33" s="8">
        <v>112542.16767030981</v>
      </c>
      <c r="G33" s="8">
        <f t="shared" si="0"/>
        <v>891224.06235793442</v>
      </c>
      <c r="H33" s="15">
        <v>89300.723262732019</v>
      </c>
      <c r="I33" s="16">
        <v>3844.1999999999971</v>
      </c>
      <c r="J33" s="9">
        <f t="shared" si="1"/>
        <v>9.98003184963979</v>
      </c>
      <c r="K33" s="44">
        <f>+IF(D33="Weekday",J33/$F$86,IF(D33="Saturday",J33/$F$87,IF(D33="Sunday",J33/$F$88,"NA")))</f>
        <v>0.53435602284828709</v>
      </c>
      <c r="L33" s="68">
        <f t="shared" si="2"/>
        <v>23.229988882662735</v>
      </c>
      <c r="M33" s="45"/>
    </row>
    <row r="34" spans="1:13" x14ac:dyDescent="0.25">
      <c r="A34" s="56" t="s">
        <v>34</v>
      </c>
      <c r="B34" s="13">
        <v>3</v>
      </c>
      <c r="C34" t="s">
        <v>35</v>
      </c>
      <c r="D34" s="13" t="s">
        <v>15</v>
      </c>
      <c r="E34" s="8">
        <v>1527810.6249388659</v>
      </c>
      <c r="F34" s="8">
        <v>150519.05631415197</v>
      </c>
      <c r="G34" s="8">
        <f t="shared" si="0"/>
        <v>1377291.5686247139</v>
      </c>
      <c r="H34" s="15">
        <v>86519.142604527136</v>
      </c>
      <c r="I34" s="16">
        <v>6387.1200000000008</v>
      </c>
      <c r="J34" s="9">
        <f t="shared" si="1"/>
        <v>15.918922993957718</v>
      </c>
      <c r="K34" s="44">
        <f>+IF(D34="Weekday",J34/$F$86,IF(D34="Saturday",J34/$F$87,IF(D34="Sunday",J34/$F$88,"NA")))</f>
        <v>0.85233920164156729</v>
      </c>
      <c r="L34" s="68">
        <f t="shared" si="2"/>
        <v>13.545877109640514</v>
      </c>
      <c r="M34" s="45"/>
    </row>
    <row r="35" spans="1:13" x14ac:dyDescent="0.25">
      <c r="A35" s="56" t="s">
        <v>34</v>
      </c>
      <c r="B35" s="13">
        <v>4</v>
      </c>
      <c r="C35" t="s">
        <v>35</v>
      </c>
      <c r="D35" s="13" t="s">
        <v>15</v>
      </c>
      <c r="E35" s="8">
        <v>1624222.2134463135</v>
      </c>
      <c r="F35" s="8">
        <v>107733.02773252959</v>
      </c>
      <c r="G35" s="8">
        <f t="shared" si="0"/>
        <v>1516489.1857137838</v>
      </c>
      <c r="H35" s="15">
        <v>91185.596324017504</v>
      </c>
      <c r="I35" s="16">
        <v>6866.0099999999966</v>
      </c>
      <c r="J35" s="9">
        <f t="shared" si="1"/>
        <v>16.630797481710974</v>
      </c>
      <c r="K35" s="44">
        <f>+IF(D35="Weekday",J35/$F$86,IF(D35="Saturday",J35/$F$87,IF(D35="Sunday",J35/$F$88,"NA")))</f>
        <v>0.89045475335262936</v>
      </c>
      <c r="L35" s="68">
        <f t="shared" si="2"/>
        <v>13.280725825336338</v>
      </c>
      <c r="M35" s="45"/>
    </row>
    <row r="36" spans="1:13" x14ac:dyDescent="0.25">
      <c r="A36" s="56" t="s">
        <v>34</v>
      </c>
      <c r="B36" s="13">
        <v>6</v>
      </c>
      <c r="C36" t="s">
        <v>35</v>
      </c>
      <c r="D36" s="13" t="s">
        <v>15</v>
      </c>
      <c r="E36" s="8">
        <v>1883551.9020006657</v>
      </c>
      <c r="F36" s="8">
        <v>147511.88577236113</v>
      </c>
      <c r="G36" s="8">
        <f t="shared" si="0"/>
        <v>1736040.0162283045</v>
      </c>
      <c r="H36" s="15">
        <v>122703.86967787199</v>
      </c>
      <c r="I36" s="16">
        <v>7599.3000000000084</v>
      </c>
      <c r="J36" s="9">
        <f t="shared" si="1"/>
        <v>14.148209186766799</v>
      </c>
      <c r="K36" s="44">
        <f>+IF(D36="Weekday",J36/$F$86,IF(D36="Saturday",J36/$F$87,IF(D36="Sunday",J36/$F$88,"NA")))</f>
        <v>0.75753072789433784</v>
      </c>
      <c r="L36" s="68">
        <f t="shared" si="2"/>
        <v>16.146733209357684</v>
      </c>
      <c r="M36" s="45"/>
    </row>
    <row r="37" spans="1:13" x14ac:dyDescent="0.25">
      <c r="A37" s="56" t="s">
        <v>34</v>
      </c>
      <c r="B37" s="13">
        <v>7</v>
      </c>
      <c r="C37" t="s">
        <v>35</v>
      </c>
      <c r="D37" s="13" t="s">
        <v>15</v>
      </c>
      <c r="E37" s="8">
        <v>737508.02412686602</v>
      </c>
      <c r="F37" s="8">
        <v>27821.426895327164</v>
      </c>
      <c r="G37" s="8">
        <f t="shared" ref="G37:G68" si="3">E37-F37</f>
        <v>709686.59723153885</v>
      </c>
      <c r="H37" s="15">
        <v>28100.692582945921</v>
      </c>
      <c r="I37" s="16">
        <v>3096.75</v>
      </c>
      <c r="J37" s="9">
        <f t="shared" ref="J37:J68" si="4">G37/H37</f>
        <v>25.255128325991574</v>
      </c>
      <c r="K37" s="44">
        <f>+IF(D37="Weekday",J37/$F$86,IF(D37="Saturday",J37/$F$87,IF(D37="Sunday",J37/$F$88,"NA")))</f>
        <v>1.3522231323627549</v>
      </c>
      <c r="L37" s="68">
        <f t="shared" ref="L37:L68" si="5">H37/I37</f>
        <v>9.0742528725101863</v>
      </c>
      <c r="M37" s="45"/>
    </row>
    <row r="38" spans="1:13" x14ac:dyDescent="0.25">
      <c r="A38" s="56" t="s">
        <v>40</v>
      </c>
      <c r="B38">
        <v>7</v>
      </c>
      <c r="C38" t="s">
        <v>35</v>
      </c>
      <c r="D38" t="s">
        <v>15</v>
      </c>
      <c r="E38" s="8">
        <v>29614.881763763835</v>
      </c>
      <c r="F38" s="8">
        <v>780.49992375235934</v>
      </c>
      <c r="G38" s="8">
        <f t="shared" si="3"/>
        <v>28834.381840011476</v>
      </c>
      <c r="H38" s="12">
        <v>937</v>
      </c>
      <c r="I38" s="16">
        <v>210</v>
      </c>
      <c r="J38" s="9">
        <f t="shared" si="4"/>
        <v>30.773086275359098</v>
      </c>
      <c r="K38" s="44">
        <f>+IF(D38="Weekday",J38/$F$86,IF(D38="Saturday",J38/$F$87,IF(D38="Sunday",J38/$F$88,"NA")))</f>
        <v>1.6476684884990225</v>
      </c>
      <c r="L38" s="68">
        <f t="shared" si="5"/>
        <v>4.461904761904762</v>
      </c>
      <c r="M38" s="45"/>
    </row>
    <row r="39" spans="1:13" x14ac:dyDescent="0.25">
      <c r="A39" s="56" t="s">
        <v>34</v>
      </c>
      <c r="B39" s="13">
        <v>9</v>
      </c>
      <c r="C39" t="s">
        <v>35</v>
      </c>
      <c r="D39" s="13" t="s">
        <v>15</v>
      </c>
      <c r="E39" s="8">
        <v>911879.94277231931</v>
      </c>
      <c r="F39" s="8">
        <v>45077.78832991403</v>
      </c>
      <c r="G39" s="8">
        <f t="shared" si="3"/>
        <v>866802.15444240533</v>
      </c>
      <c r="H39" s="15">
        <v>44678.745107470146</v>
      </c>
      <c r="I39" s="16">
        <v>3502.4999999999973</v>
      </c>
      <c r="J39" s="9">
        <f t="shared" si="4"/>
        <v>19.400772164871718</v>
      </c>
      <c r="K39" s="44">
        <f>+IF(D39="Weekday",J39/$F$86,IF(D39="Saturday",J39/$F$87,IF(D39="Sunday",J39/$F$88,"NA")))</f>
        <v>1.0387661693264814</v>
      </c>
      <c r="L39" s="68">
        <f t="shared" si="5"/>
        <v>12.756244142032886</v>
      </c>
      <c r="M39" s="45"/>
    </row>
    <row r="40" spans="1:13" x14ac:dyDescent="0.25">
      <c r="A40" s="56" t="s">
        <v>34</v>
      </c>
      <c r="B40" s="13">
        <v>10</v>
      </c>
      <c r="C40" t="s">
        <v>35</v>
      </c>
      <c r="D40" s="13" t="s">
        <v>15</v>
      </c>
      <c r="E40" s="8">
        <v>1571015.9159659536</v>
      </c>
      <c r="F40" s="8">
        <v>91620.051060767626</v>
      </c>
      <c r="G40" s="8">
        <f t="shared" si="3"/>
        <v>1479395.864905186</v>
      </c>
      <c r="H40" s="15">
        <v>137843.8260797869</v>
      </c>
      <c r="I40" s="16">
        <v>6285.260000000002</v>
      </c>
      <c r="J40" s="9">
        <f t="shared" si="4"/>
        <v>10.732405701281685</v>
      </c>
      <c r="K40" s="44">
        <f>+IF(D40="Weekday",J40/$F$86,IF(D40="Saturday",J40/$F$87,IF(D40="Sunday",J40/$F$88,"NA")))</f>
        <v>0.57464001243023621</v>
      </c>
      <c r="L40" s="68">
        <f t="shared" si="5"/>
        <v>21.931284637355791</v>
      </c>
      <c r="M40" s="45"/>
    </row>
    <row r="41" spans="1:13" x14ac:dyDescent="0.25">
      <c r="A41" s="56" t="s">
        <v>34</v>
      </c>
      <c r="B41" s="13">
        <v>11</v>
      </c>
      <c r="C41" t="s">
        <v>35</v>
      </c>
      <c r="D41" s="13" t="s">
        <v>15</v>
      </c>
      <c r="E41" s="8">
        <v>1306518.859369278</v>
      </c>
      <c r="F41" s="8">
        <v>79063.231799188259</v>
      </c>
      <c r="G41" s="8">
        <f t="shared" si="3"/>
        <v>1227455.6275700897</v>
      </c>
      <c r="H41" s="15">
        <v>86320.458271798212</v>
      </c>
      <c r="I41" s="16">
        <v>5259.0999999999967</v>
      </c>
      <c r="J41" s="9">
        <f t="shared" si="4"/>
        <v>14.219753371850578</v>
      </c>
      <c r="K41" s="44">
        <f>+IF(D41="Weekday",J41/$F$86,IF(D41="Saturday",J41/$F$87,IF(D41="Sunday",J41/$F$88,"NA")))</f>
        <v>0.76136138362522809</v>
      </c>
      <c r="L41" s="68">
        <f t="shared" si="5"/>
        <v>16.413541912456175</v>
      </c>
      <c r="M41" s="45"/>
    </row>
    <row r="42" spans="1:13" x14ac:dyDescent="0.25">
      <c r="A42" s="56" t="s">
        <v>34</v>
      </c>
      <c r="B42" s="13">
        <v>14</v>
      </c>
      <c r="C42" t="s">
        <v>35</v>
      </c>
      <c r="D42" s="13" t="s">
        <v>15</v>
      </c>
      <c r="E42" s="8">
        <v>1138616.5798277096</v>
      </c>
      <c r="F42" s="8">
        <v>70626.044056290571</v>
      </c>
      <c r="G42" s="8">
        <f t="shared" si="3"/>
        <v>1067990.5357714191</v>
      </c>
      <c r="H42" s="15">
        <v>87791.142829934513</v>
      </c>
      <c r="I42" s="16">
        <v>4609.6900000000023</v>
      </c>
      <c r="J42" s="9">
        <f t="shared" si="4"/>
        <v>12.165128523731461</v>
      </c>
      <c r="K42" s="44">
        <f>+IF(D42="Weekday",J42/$F$86,IF(D42="Saturday",J42/$F$87,IF(D42="Sunday",J42/$F$88,"NA")))</f>
        <v>0.65135159820296773</v>
      </c>
      <c r="L42" s="68">
        <f t="shared" si="5"/>
        <v>19.044912527726261</v>
      </c>
      <c r="M42" s="45"/>
    </row>
    <row r="43" spans="1:13" x14ac:dyDescent="0.25">
      <c r="A43" s="56" t="s">
        <v>34</v>
      </c>
      <c r="B43" s="13">
        <v>17</v>
      </c>
      <c r="C43" t="s">
        <v>35</v>
      </c>
      <c r="D43" s="13" t="s">
        <v>15</v>
      </c>
      <c r="E43" s="8">
        <v>1182371.4364977696</v>
      </c>
      <c r="F43" s="8">
        <v>89994.766735192912</v>
      </c>
      <c r="G43" s="8">
        <f t="shared" si="3"/>
        <v>1092376.6697625767</v>
      </c>
      <c r="H43" s="15">
        <v>103711.11920478517</v>
      </c>
      <c r="I43" s="16">
        <v>4828.3599999999979</v>
      </c>
      <c r="J43" s="9">
        <f t="shared" si="4"/>
        <v>10.532879002159829</v>
      </c>
      <c r="K43" s="44">
        <f>+IF(D43="Weekday",J43/$F$86,IF(D43="Saturday",J43/$F$87,IF(D43="Sunday",J43/$F$88,"NA")))</f>
        <v>0.56395685079296654</v>
      </c>
      <c r="L43" s="68">
        <f t="shared" si="5"/>
        <v>21.479574680592417</v>
      </c>
      <c r="M43" s="45"/>
    </row>
    <row r="44" spans="1:13" x14ac:dyDescent="0.25">
      <c r="A44" s="56" t="s">
        <v>34</v>
      </c>
      <c r="B44" s="13">
        <v>18</v>
      </c>
      <c r="C44" t="s">
        <v>35</v>
      </c>
      <c r="D44" s="13" t="s">
        <v>15</v>
      </c>
      <c r="E44" s="8">
        <v>1788818.0303900745</v>
      </c>
      <c r="F44" s="8">
        <v>151635.80576362571</v>
      </c>
      <c r="G44" s="8">
        <f t="shared" si="3"/>
        <v>1637182.2246264487</v>
      </c>
      <c r="H44" s="15">
        <v>183501.2754929217</v>
      </c>
      <c r="I44" s="16">
        <v>7303.130000000001</v>
      </c>
      <c r="J44" s="9">
        <f t="shared" si="4"/>
        <v>8.9219119607133237</v>
      </c>
      <c r="K44" s="44">
        <f>+IF(D44="Weekday",J44/$F$86,IF(D44="Saturday",J44/$F$87,IF(D44="Sunday",J44/$F$88,"NA")))</f>
        <v>0.47770162093234275</v>
      </c>
      <c r="L44" s="68">
        <f t="shared" si="5"/>
        <v>25.126387657473121</v>
      </c>
      <c r="M44" s="45"/>
    </row>
    <row r="45" spans="1:13" x14ac:dyDescent="0.25">
      <c r="A45" s="56" t="s">
        <v>34</v>
      </c>
      <c r="B45" s="13">
        <v>21</v>
      </c>
      <c r="C45" t="s">
        <v>35</v>
      </c>
      <c r="D45" s="13" t="s">
        <v>15</v>
      </c>
      <c r="E45" s="8">
        <v>2238876.0170232519</v>
      </c>
      <c r="F45" s="8">
        <v>163760.84601111486</v>
      </c>
      <c r="G45" s="8">
        <f t="shared" si="3"/>
        <v>2075115.1710121371</v>
      </c>
      <c r="H45" s="15">
        <v>240089.51692571433</v>
      </c>
      <c r="I45" s="16">
        <v>9510.2499999999891</v>
      </c>
      <c r="J45" s="9">
        <f t="shared" si="4"/>
        <v>8.6430894508992449</v>
      </c>
      <c r="K45" s="44">
        <f>+IF(D45="Weekday",J45/$F$86,IF(D45="Saturday",J45/$F$87,IF(D45="Sunday",J45/$F$88,"NA")))</f>
        <v>0.46277276201991291</v>
      </c>
      <c r="L45" s="68">
        <f t="shared" si="5"/>
        <v>25.245342333347136</v>
      </c>
      <c r="M45" s="45"/>
    </row>
    <row r="46" spans="1:13" x14ac:dyDescent="0.25">
      <c r="A46" s="56" t="s">
        <v>34</v>
      </c>
      <c r="B46" s="13">
        <v>22</v>
      </c>
      <c r="C46" t="s">
        <v>35</v>
      </c>
      <c r="D46" s="13" t="s">
        <v>15</v>
      </c>
      <c r="E46" s="8">
        <v>1078608.727360087</v>
      </c>
      <c r="F46" s="8">
        <v>61533.983158318326</v>
      </c>
      <c r="G46" s="8">
        <f t="shared" si="3"/>
        <v>1017074.7442017687</v>
      </c>
      <c r="H46" s="15">
        <v>75559.967108765253</v>
      </c>
      <c r="I46" s="16">
        <v>4714.2300000000005</v>
      </c>
      <c r="J46" s="9">
        <f t="shared" si="4"/>
        <v>13.460497444866991</v>
      </c>
      <c r="K46" s="44">
        <f>+IF(D46="Weekday",J46/$F$86,IF(D46="Saturday",J46/$F$87,IF(D46="Sunday",J46/$F$88,"NA")))</f>
        <v>0.72070891040876417</v>
      </c>
      <c r="L46" s="68">
        <f t="shared" si="5"/>
        <v>16.028061233492053</v>
      </c>
      <c r="M46" s="45"/>
    </row>
    <row r="47" spans="1:13" x14ac:dyDescent="0.25">
      <c r="A47" s="56" t="s">
        <v>34</v>
      </c>
      <c r="B47" s="13">
        <v>25</v>
      </c>
      <c r="C47" t="s">
        <v>35</v>
      </c>
      <c r="D47" s="13" t="s">
        <v>15</v>
      </c>
      <c r="E47" s="8">
        <v>194071.03563656274</v>
      </c>
      <c r="F47" s="8">
        <v>5396.1928482622452</v>
      </c>
      <c r="G47" s="8">
        <f t="shared" si="3"/>
        <v>188674.84278830051</v>
      </c>
      <c r="H47" s="15">
        <v>5390.757980073573</v>
      </c>
      <c r="I47" s="16">
        <v>810.75</v>
      </c>
      <c r="J47" s="9">
        <f t="shared" si="4"/>
        <v>34.999687147098648</v>
      </c>
      <c r="K47" s="44">
        <f>+IF(D47="Weekday",J47/$F$86,IF(D47="Saturday",J47/$F$87,IF(D47="Sunday",J47/$F$88,"NA")))</f>
        <v>1.8739713366278454</v>
      </c>
      <c r="L47" s="68">
        <f t="shared" si="5"/>
        <v>6.649100191271752</v>
      </c>
      <c r="M47" s="45"/>
    </row>
    <row r="48" spans="1:13" x14ac:dyDescent="0.25">
      <c r="A48" s="56" t="s">
        <v>34</v>
      </c>
      <c r="B48" s="13">
        <v>54</v>
      </c>
      <c r="C48" t="s">
        <v>35</v>
      </c>
      <c r="D48" s="13" t="s">
        <v>15</v>
      </c>
      <c r="E48" s="8">
        <v>1452855.6752312325</v>
      </c>
      <c r="F48" s="8">
        <v>132222.59213098171</v>
      </c>
      <c r="G48" s="8">
        <f t="shared" si="3"/>
        <v>1320633.0831002509</v>
      </c>
      <c r="H48" s="15">
        <v>125486.50157593259</v>
      </c>
      <c r="I48" s="16">
        <v>6050.7200000000012</v>
      </c>
      <c r="J48" s="9">
        <f t="shared" si="4"/>
        <v>10.524104716562908</v>
      </c>
      <c r="K48" s="44">
        <f>+IF(D48="Weekday",J48/$F$86,IF(D48="Saturday",J48/$F$87,IF(D48="Sunday",J48/$F$88,"NA")))</f>
        <v>0.56348705345909578</v>
      </c>
      <c r="L48" s="68">
        <f t="shared" si="5"/>
        <v>20.739102383837388</v>
      </c>
      <c r="M48" s="45"/>
    </row>
    <row r="49" spans="1:13" x14ac:dyDescent="0.25">
      <c r="A49" s="56" t="s">
        <v>34</v>
      </c>
      <c r="B49" s="13">
        <v>61</v>
      </c>
      <c r="C49" t="s">
        <v>35</v>
      </c>
      <c r="D49" s="13" t="s">
        <v>15</v>
      </c>
      <c r="E49" s="8">
        <v>385073.20966287202</v>
      </c>
      <c r="F49" s="8">
        <v>23201.322829000357</v>
      </c>
      <c r="G49" s="8">
        <f t="shared" si="3"/>
        <v>361871.88683387166</v>
      </c>
      <c r="H49" s="15">
        <v>21802.714607395847</v>
      </c>
      <c r="I49" s="16">
        <v>1566.5399999999993</v>
      </c>
      <c r="J49" s="9">
        <f t="shared" si="4"/>
        <v>16.59756105375606</v>
      </c>
      <c r="K49" s="44">
        <f>+IF(D49="Weekday",J49/$F$86,IF(D49="Saturday",J49/$F$87,IF(D49="Sunday",J49/$F$88,"NA")))</f>
        <v>0.88867519135089967</v>
      </c>
      <c r="L49" s="68">
        <f t="shared" si="5"/>
        <v>13.917751610170093</v>
      </c>
      <c r="M49" s="45"/>
    </row>
    <row r="50" spans="1:13" x14ac:dyDescent="0.25">
      <c r="A50" s="56" t="s">
        <v>34</v>
      </c>
      <c r="B50" s="13">
        <v>62</v>
      </c>
      <c r="C50" t="s">
        <v>35</v>
      </c>
      <c r="D50" s="13" t="s">
        <v>15</v>
      </c>
      <c r="E50" s="8">
        <v>770231.66548158473</v>
      </c>
      <c r="F50" s="8">
        <v>40177.810745605537</v>
      </c>
      <c r="G50" s="8">
        <f t="shared" si="3"/>
        <v>730053.85473597923</v>
      </c>
      <c r="H50" s="15">
        <v>45019.346820719722</v>
      </c>
      <c r="I50" s="16">
        <v>3087.5599999999972</v>
      </c>
      <c r="J50" s="9">
        <f t="shared" si="4"/>
        <v>16.2164470675967</v>
      </c>
      <c r="K50" s="44">
        <f>+IF(D50="Weekday",J50/$F$86,IF(D50="Saturday",J50/$F$87,IF(D50="Sunday",J50/$F$88,"NA")))</f>
        <v>0.86826938934904296</v>
      </c>
      <c r="L50" s="68">
        <f t="shared" si="5"/>
        <v>14.58088160901157</v>
      </c>
      <c r="M50" s="45"/>
    </row>
    <row r="51" spans="1:13" x14ac:dyDescent="0.25">
      <c r="A51" s="56" t="s">
        <v>34</v>
      </c>
      <c r="B51" s="13">
        <v>63</v>
      </c>
      <c r="C51" t="s">
        <v>35</v>
      </c>
      <c r="D51" s="13" t="s">
        <v>15</v>
      </c>
      <c r="E51" s="8">
        <v>1290381.9434434995</v>
      </c>
      <c r="F51" s="8">
        <v>97229.279632501639</v>
      </c>
      <c r="G51" s="8">
        <f t="shared" si="3"/>
        <v>1193152.663810998</v>
      </c>
      <c r="H51" s="15">
        <v>93953.510864098178</v>
      </c>
      <c r="I51" s="16">
        <v>5547.9000000000024</v>
      </c>
      <c r="J51" s="9">
        <f t="shared" si="4"/>
        <v>12.699394124152196</v>
      </c>
      <c r="K51" s="44">
        <f>+IF(D51="Weekday",J51/$F$86,IF(D51="Saturday",J51/$F$87,IF(D51="Sunday",J51/$F$88,"NA")))</f>
        <v>0.67995752308243396</v>
      </c>
      <c r="L51" s="68">
        <f t="shared" si="5"/>
        <v>16.934968341912821</v>
      </c>
      <c r="M51" s="45"/>
    </row>
    <row r="52" spans="1:13" x14ac:dyDescent="0.25">
      <c r="A52" s="56" t="s">
        <v>34</v>
      </c>
      <c r="B52" s="13">
        <v>64</v>
      </c>
      <c r="C52" t="s">
        <v>35</v>
      </c>
      <c r="D52" s="13" t="s">
        <v>15</v>
      </c>
      <c r="E52" s="8">
        <v>1253446.7792406667</v>
      </c>
      <c r="F52" s="8">
        <v>59781.838016519119</v>
      </c>
      <c r="G52" s="8">
        <f t="shared" si="3"/>
        <v>1193664.9412241476</v>
      </c>
      <c r="H52" s="15">
        <v>82314.183181692846</v>
      </c>
      <c r="I52" s="16">
        <v>5096.8399999999992</v>
      </c>
      <c r="J52" s="9">
        <f t="shared" si="4"/>
        <v>14.5013276580703</v>
      </c>
      <c r="K52" s="44">
        <f>+IF(D52="Weekday",J52/$F$86,IF(D52="Saturday",J52/$F$87,IF(D52="Sunday",J52/$F$88,"NA")))</f>
        <v>0.77643757957205228</v>
      </c>
      <c r="L52" s="68">
        <f t="shared" si="5"/>
        <v>16.150042611047798</v>
      </c>
      <c r="M52" s="45"/>
    </row>
    <row r="53" spans="1:13" x14ac:dyDescent="0.25">
      <c r="A53" s="56" t="s">
        <v>40</v>
      </c>
      <c r="B53">
        <v>67</v>
      </c>
      <c r="C53" t="s">
        <v>35</v>
      </c>
      <c r="D53" t="s">
        <v>15</v>
      </c>
      <c r="E53" s="8">
        <v>214008.57028560142</v>
      </c>
      <c r="F53" s="8">
        <v>7692.717383993674</v>
      </c>
      <c r="G53" s="8">
        <f t="shared" si="3"/>
        <v>206315.85290160775</v>
      </c>
      <c r="H53" s="12">
        <v>8163</v>
      </c>
      <c r="I53" s="16">
        <v>1906.316</v>
      </c>
      <c r="J53" s="9">
        <f t="shared" si="4"/>
        <v>25.27451340213252</v>
      </c>
      <c r="K53" s="44">
        <f>+IF(D53="Weekday",J53/$F$86,IF(D53="Saturday",J53/$F$87,IF(D53="Sunday",J53/$F$88,"NA")))</f>
        <v>1.3532610581274569</v>
      </c>
      <c r="L53" s="68">
        <f t="shared" si="5"/>
        <v>4.2820812499081997</v>
      </c>
      <c r="M53" s="45"/>
    </row>
    <row r="54" spans="1:13" x14ac:dyDescent="0.25">
      <c r="A54" s="56" t="s">
        <v>34</v>
      </c>
      <c r="B54" s="13">
        <v>68</v>
      </c>
      <c r="C54" t="s">
        <v>35</v>
      </c>
      <c r="D54" s="13" t="s">
        <v>15</v>
      </c>
      <c r="E54" s="8">
        <v>1092511.1057540518</v>
      </c>
      <c r="F54" s="8">
        <v>48631.013984294543</v>
      </c>
      <c r="G54" s="8">
        <f t="shared" si="3"/>
        <v>1043880.0917697573</v>
      </c>
      <c r="H54" s="15">
        <v>67879.608722958394</v>
      </c>
      <c r="I54" s="16">
        <v>4715.3599999999988</v>
      </c>
      <c r="J54" s="9">
        <f t="shared" si="4"/>
        <v>15.378404669806146</v>
      </c>
      <c r="K54" s="44">
        <f>+IF(D54="Weekday",J54/$F$86,IF(D54="Saturday",J54/$F$87,IF(D54="Sunday",J54/$F$88,"NA")))</f>
        <v>0.82339849019677569</v>
      </c>
      <c r="L54" s="68">
        <f t="shared" si="5"/>
        <v>14.395424468748603</v>
      </c>
      <c r="M54" s="45"/>
    </row>
    <row r="55" spans="1:13" x14ac:dyDescent="0.25">
      <c r="A55" s="56" t="s">
        <v>34</v>
      </c>
      <c r="B55" s="13">
        <v>70</v>
      </c>
      <c r="C55" t="s">
        <v>35</v>
      </c>
      <c r="D55" s="13" t="s">
        <v>15</v>
      </c>
      <c r="E55" s="8">
        <v>95484.763281185413</v>
      </c>
      <c r="F55" s="8">
        <v>3327.6208076294438</v>
      </c>
      <c r="G55" s="8">
        <f t="shared" si="3"/>
        <v>92157.14247355597</v>
      </c>
      <c r="H55" s="15">
        <v>3873.8188682860991</v>
      </c>
      <c r="I55" s="16">
        <v>370.35999999999984</v>
      </c>
      <c r="J55" s="9">
        <f t="shared" si="4"/>
        <v>23.789739687630057</v>
      </c>
      <c r="K55" s="44">
        <f>+IF(D55="Weekday",J55/$F$86,IF(D55="Saturday",J55/$F$87,IF(D55="Sunday",J55/$F$88,"NA")))</f>
        <v>1.2737625365931944</v>
      </c>
      <c r="L55" s="68">
        <f t="shared" si="5"/>
        <v>10.459603813279244</v>
      </c>
      <c r="M55" s="45"/>
    </row>
    <row r="56" spans="1:13" x14ac:dyDescent="0.25">
      <c r="A56" s="56" t="s">
        <v>40</v>
      </c>
      <c r="B56">
        <v>70</v>
      </c>
      <c r="C56" t="s">
        <v>35</v>
      </c>
      <c r="D56" t="s">
        <v>15</v>
      </c>
      <c r="E56" s="8">
        <v>5225.9059970355338</v>
      </c>
      <c r="F56" s="8">
        <v>110.03364853102855</v>
      </c>
      <c r="G56" s="8">
        <f t="shared" si="3"/>
        <v>5115.8723485045057</v>
      </c>
      <c r="H56" s="12">
        <v>87</v>
      </c>
      <c r="I56" s="16">
        <v>47.28</v>
      </c>
      <c r="J56" s="9">
        <f t="shared" si="4"/>
        <v>58.803130442580525</v>
      </c>
      <c r="K56" s="44">
        <f>+IF(D56="Weekday",J56/$F$86,IF(D56="Saturday",J56/$F$87,IF(D56="Sunday",J56/$F$88,"NA")))</f>
        <v>3.1484675988744941</v>
      </c>
      <c r="L56" s="68">
        <f t="shared" si="5"/>
        <v>1.8401015228426396</v>
      </c>
      <c r="M56" s="45"/>
    </row>
    <row r="57" spans="1:13" x14ac:dyDescent="0.25">
      <c r="A57" s="56" t="s">
        <v>34</v>
      </c>
      <c r="B57" s="13">
        <v>71</v>
      </c>
      <c r="C57" t="s">
        <v>35</v>
      </c>
      <c r="D57" s="13" t="s">
        <v>15</v>
      </c>
      <c r="E57" s="8">
        <v>542822.12791945483</v>
      </c>
      <c r="F57" s="8">
        <v>11311.571579076721</v>
      </c>
      <c r="G57" s="8">
        <f t="shared" si="3"/>
        <v>531510.55634037813</v>
      </c>
      <c r="H57" s="15">
        <v>16512.875653470295</v>
      </c>
      <c r="I57" s="16">
        <v>2011.8800000000019</v>
      </c>
      <c r="J57" s="9">
        <f t="shared" si="4"/>
        <v>32.187643599718953</v>
      </c>
      <c r="K57" s="44">
        <f>+IF(D57="Weekday",J57/$F$86,IF(D57="Saturday",J57/$F$87,IF(D57="Sunday",J57/$F$88,"NA")))</f>
        <v>1.7234074477853225</v>
      </c>
      <c r="L57" s="68">
        <f t="shared" si="5"/>
        <v>8.2076841826899614</v>
      </c>
      <c r="M57" s="45"/>
    </row>
    <row r="58" spans="1:13" x14ac:dyDescent="0.25">
      <c r="A58" s="56" t="s">
        <v>34</v>
      </c>
      <c r="B58" s="13">
        <v>74</v>
      </c>
      <c r="C58" t="s">
        <v>35</v>
      </c>
      <c r="D58" s="13" t="s">
        <v>15</v>
      </c>
      <c r="E58" s="8">
        <v>888743.77332764771</v>
      </c>
      <c r="F58" s="8">
        <v>55564.959534103451</v>
      </c>
      <c r="G58" s="8">
        <f t="shared" si="3"/>
        <v>833178.81379354431</v>
      </c>
      <c r="H58" s="15">
        <v>60197.147857440134</v>
      </c>
      <c r="I58" s="16">
        <v>3617.9899999999975</v>
      </c>
      <c r="J58" s="9">
        <f t="shared" si="4"/>
        <v>13.840835379222483</v>
      </c>
      <c r="K58" s="44">
        <f>+IF(D58="Weekday",J58/$F$86,IF(D58="Saturday",J58/$F$87,IF(D58="Sunday",J58/$F$88,"NA")))</f>
        <v>0.74107316064388429</v>
      </c>
      <c r="L58" s="68">
        <f t="shared" si="5"/>
        <v>16.638284754087262</v>
      </c>
      <c r="M58" s="45"/>
    </row>
    <row r="59" spans="1:13" x14ac:dyDescent="0.25">
      <c r="A59" s="56" t="s">
        <v>34</v>
      </c>
      <c r="B59" s="13">
        <v>2</v>
      </c>
      <c r="C59" t="s">
        <v>35</v>
      </c>
      <c r="D59" s="13" t="s">
        <v>16</v>
      </c>
      <c r="E59" s="8">
        <v>955241.2161271167</v>
      </c>
      <c r="F59" s="8">
        <v>90979.649551354538</v>
      </c>
      <c r="G59" s="8">
        <f t="shared" si="3"/>
        <v>864261.56657576212</v>
      </c>
      <c r="H59" s="15">
        <v>80158.090237634548</v>
      </c>
      <c r="I59" s="16">
        <v>3575.5599999999977</v>
      </c>
      <c r="J59" s="9">
        <f t="shared" si="4"/>
        <v>10.781963043450702</v>
      </c>
      <c r="K59" s="44">
        <f>+IF(D59="Weekday",J59/$F$86,IF(D59="Saturday",J59/$F$87,IF(D59="Sunday",J59/$F$88,"NA")))</f>
        <v>0.52971158931856399</v>
      </c>
      <c r="L59" s="68">
        <f t="shared" si="5"/>
        <v>22.418331740380417</v>
      </c>
      <c r="M59" s="45"/>
    </row>
    <row r="60" spans="1:13" x14ac:dyDescent="0.25">
      <c r="A60" s="56" t="s">
        <v>34</v>
      </c>
      <c r="B60" s="13">
        <v>3</v>
      </c>
      <c r="C60" t="s">
        <v>35</v>
      </c>
      <c r="D60" s="13" t="s">
        <v>16</v>
      </c>
      <c r="E60" s="8">
        <v>949322.95641420095</v>
      </c>
      <c r="F60" s="8">
        <v>91001.746880990671</v>
      </c>
      <c r="G60" s="8">
        <f t="shared" si="3"/>
        <v>858321.20953321026</v>
      </c>
      <c r="H60" s="15">
        <v>60320.142920558028</v>
      </c>
      <c r="I60" s="16">
        <v>3931.0400000000027</v>
      </c>
      <c r="J60" s="9">
        <f t="shared" si="4"/>
        <v>14.229429307944846</v>
      </c>
      <c r="K60" s="44">
        <f>+IF(D60="Weekday",J60/$F$86,IF(D60="Saturday",J60/$F$87,IF(D60="Sunday",J60/$F$88,"NA")))</f>
        <v>0.6990836068934706</v>
      </c>
      <c r="L60" s="68">
        <f t="shared" si="5"/>
        <v>15.34457622424549</v>
      </c>
      <c r="M60" s="46"/>
    </row>
    <row r="61" spans="1:13" x14ac:dyDescent="0.25">
      <c r="A61" s="56" t="s">
        <v>34</v>
      </c>
      <c r="B61" s="13">
        <v>4</v>
      </c>
      <c r="C61" t="s">
        <v>35</v>
      </c>
      <c r="D61" s="13" t="s">
        <v>16</v>
      </c>
      <c r="E61" s="8">
        <v>1191035.7106775444</v>
      </c>
      <c r="F61" s="8">
        <v>82362.190015518296</v>
      </c>
      <c r="G61" s="8">
        <f t="shared" si="3"/>
        <v>1108673.520662026</v>
      </c>
      <c r="H61" s="15">
        <v>69124.276712117353</v>
      </c>
      <c r="I61" s="16">
        <v>4993.1099999999988</v>
      </c>
      <c r="J61" s="9">
        <f t="shared" si="4"/>
        <v>16.038844432026842</v>
      </c>
      <c r="K61" s="44">
        <f>+IF(D61="Weekday",J61/$F$86,IF(D61="Saturday",J61/$F$87,IF(D61="Sunday",J61/$F$88,"NA")))</f>
        <v>0.78797912223255573</v>
      </c>
      <c r="L61" s="68">
        <f t="shared" si="5"/>
        <v>13.84393228110684</v>
      </c>
      <c r="M61" s="45"/>
    </row>
    <row r="62" spans="1:13" x14ac:dyDescent="0.25">
      <c r="A62" s="56" t="s">
        <v>34</v>
      </c>
      <c r="B62" s="13">
        <v>6</v>
      </c>
      <c r="C62" t="s">
        <v>35</v>
      </c>
      <c r="D62" s="13" t="s">
        <v>16</v>
      </c>
      <c r="E62" s="8">
        <v>1837036.520879776</v>
      </c>
      <c r="F62" s="8">
        <v>129784.91515375176</v>
      </c>
      <c r="G62" s="8">
        <f t="shared" si="3"/>
        <v>1707251.6057260241</v>
      </c>
      <c r="H62" s="15">
        <v>109939.7153498585</v>
      </c>
      <c r="I62" s="16">
        <v>7371.6699999999964</v>
      </c>
      <c r="J62" s="9">
        <f t="shared" si="4"/>
        <v>15.52897968030096</v>
      </c>
      <c r="K62" s="44">
        <f>+IF(D62="Weekday",J62/$F$86,IF(D62="Saturday",J62/$F$87,IF(D62="Sunday",J62/$F$88,"NA")))</f>
        <v>0.76292976277122015</v>
      </c>
      <c r="L62" s="68">
        <f t="shared" si="5"/>
        <v>14.913814013630365</v>
      </c>
      <c r="M62" s="45"/>
    </row>
    <row r="63" spans="1:13" x14ac:dyDescent="0.25">
      <c r="A63" s="56" t="s">
        <v>34</v>
      </c>
      <c r="B63" s="13">
        <v>7</v>
      </c>
      <c r="C63" t="s">
        <v>35</v>
      </c>
      <c r="D63" s="13" t="s">
        <v>16</v>
      </c>
      <c r="E63" s="8">
        <v>774002.44756652333</v>
      </c>
      <c r="F63" s="8">
        <v>24633.42316055057</v>
      </c>
      <c r="G63" s="8">
        <f t="shared" si="3"/>
        <v>749369.0244059728</v>
      </c>
      <c r="H63" s="15">
        <v>28178.484332268352</v>
      </c>
      <c r="I63" s="16">
        <v>3235.0000000000027</v>
      </c>
      <c r="J63" s="9">
        <f t="shared" si="4"/>
        <v>26.593659743006093</v>
      </c>
      <c r="K63" s="44">
        <f>+IF(D63="Weekday",J63/$F$86,IF(D63="Saturday",J63/$F$87,IF(D63="Sunday",J63/$F$88,"NA")))</f>
        <v>1.3065310752314006</v>
      </c>
      <c r="L63" s="68">
        <f t="shared" si="5"/>
        <v>8.7105052031741348</v>
      </c>
      <c r="M63" s="45"/>
    </row>
    <row r="64" spans="1:13" x14ac:dyDescent="0.25">
      <c r="A64" s="56" t="s">
        <v>40</v>
      </c>
      <c r="B64">
        <v>7</v>
      </c>
      <c r="C64" t="s">
        <v>35</v>
      </c>
      <c r="D64" s="13" t="s">
        <v>16</v>
      </c>
      <c r="E64" s="8">
        <v>18329.923732587988</v>
      </c>
      <c r="F64" s="8">
        <v>291.85471449579899</v>
      </c>
      <c r="G64" s="8">
        <f t="shared" si="3"/>
        <v>18038.069018092188</v>
      </c>
      <c r="H64" s="12">
        <v>384</v>
      </c>
      <c r="I64" s="16">
        <v>132</v>
      </c>
      <c r="J64" s="9">
        <f t="shared" si="4"/>
        <v>46.97413806794841</v>
      </c>
      <c r="K64" s="44">
        <f>+IF(D64="Weekday",J64/$F$86,IF(D64="Saturday",J64/$F$87,IF(D64="Sunday",J64/$F$88,"NA")))</f>
        <v>2.3078121518842676</v>
      </c>
      <c r="L64" s="68">
        <f t="shared" si="5"/>
        <v>2.9090909090909092</v>
      </c>
      <c r="M64" s="45"/>
    </row>
    <row r="65" spans="1:13" x14ac:dyDescent="0.25">
      <c r="A65" s="56" t="s">
        <v>34</v>
      </c>
      <c r="B65" s="13">
        <v>9</v>
      </c>
      <c r="C65" t="s">
        <v>35</v>
      </c>
      <c r="D65" s="13" t="s">
        <v>16</v>
      </c>
      <c r="E65" s="8">
        <v>833339.21327540348</v>
      </c>
      <c r="F65" s="8">
        <v>36258.754988236644</v>
      </c>
      <c r="G65" s="8">
        <f t="shared" si="3"/>
        <v>797080.4582871669</v>
      </c>
      <c r="H65" s="15">
        <v>37269.606604436107</v>
      </c>
      <c r="I65" s="16">
        <v>3493.9999999999977</v>
      </c>
      <c r="J65" s="9">
        <f t="shared" si="4"/>
        <v>21.386876087720562</v>
      </c>
      <c r="K65" s="44">
        <f>+IF(D65="Weekday",J65/$F$86,IF(D65="Saturday",J65/$F$87,IF(D65="Sunday",J65/$F$88,"NA")))</f>
        <v>1.0507248148904722</v>
      </c>
      <c r="L65" s="68">
        <f t="shared" si="5"/>
        <v>10.666744878201525</v>
      </c>
      <c r="M65" s="45"/>
    </row>
    <row r="66" spans="1:13" x14ac:dyDescent="0.25">
      <c r="A66" s="56" t="s">
        <v>34</v>
      </c>
      <c r="B66" s="13">
        <v>10</v>
      </c>
      <c r="C66" t="s">
        <v>35</v>
      </c>
      <c r="D66" s="13" t="s">
        <v>16</v>
      </c>
      <c r="E66" s="8">
        <v>1277555.1176115181</v>
      </c>
      <c r="F66" s="8">
        <v>74630.900454208619</v>
      </c>
      <c r="G66" s="8">
        <f t="shared" si="3"/>
        <v>1202924.2171573094</v>
      </c>
      <c r="H66" s="15">
        <v>110083.73521009056</v>
      </c>
      <c r="I66" s="16">
        <v>4858.1099999999969</v>
      </c>
      <c r="J66" s="9">
        <f t="shared" si="4"/>
        <v>10.927356478789305</v>
      </c>
      <c r="K66" s="44">
        <f>+IF(D66="Weekday",J66/$F$86,IF(D66="Saturday",J66/$F$87,IF(D66="Sunday",J66/$F$88,"NA")))</f>
        <v>0.53685468444876661</v>
      </c>
      <c r="L66" s="68">
        <f t="shared" si="5"/>
        <v>22.659786462243677</v>
      </c>
      <c r="M66" s="45"/>
    </row>
    <row r="67" spans="1:13" x14ac:dyDescent="0.25">
      <c r="A67" s="56" t="s">
        <v>34</v>
      </c>
      <c r="B67" s="13">
        <v>11</v>
      </c>
      <c r="C67" t="s">
        <v>35</v>
      </c>
      <c r="D67" s="13" t="s">
        <v>16</v>
      </c>
      <c r="E67" s="8">
        <v>875650.32654016674</v>
      </c>
      <c r="F67" s="8">
        <v>56145.540749596781</v>
      </c>
      <c r="G67" s="8">
        <f t="shared" si="3"/>
        <v>819504.78579056996</v>
      </c>
      <c r="H67" s="15">
        <v>58346.965711393044</v>
      </c>
      <c r="I67" s="16">
        <v>3520.9499999999966</v>
      </c>
      <c r="J67" s="9">
        <f t="shared" si="4"/>
        <v>14.045371096830669</v>
      </c>
      <c r="K67" s="44">
        <f>+IF(D67="Weekday",J67/$F$86,IF(D67="Saturday",J67/$F$87,IF(D67="Sunday",J67/$F$88,"NA")))</f>
        <v>0.69004093376024689</v>
      </c>
      <c r="L67" s="68">
        <f t="shared" si="5"/>
        <v>16.57137014481691</v>
      </c>
      <c r="M67" s="45"/>
    </row>
    <row r="68" spans="1:13" x14ac:dyDescent="0.25">
      <c r="A68" s="56" t="s">
        <v>34</v>
      </c>
      <c r="B68" s="13">
        <v>14</v>
      </c>
      <c r="C68" t="s">
        <v>35</v>
      </c>
      <c r="D68" s="13" t="s">
        <v>16</v>
      </c>
      <c r="E68" s="8">
        <v>1253481.2404526013</v>
      </c>
      <c r="F68" s="8">
        <v>59067.612400897458</v>
      </c>
      <c r="G68" s="8">
        <f t="shared" si="3"/>
        <v>1194413.6280517038</v>
      </c>
      <c r="H68" s="15">
        <v>73148.422879769772</v>
      </c>
      <c r="I68" s="16">
        <v>5053.0499999999993</v>
      </c>
      <c r="J68" s="9">
        <f t="shared" si="4"/>
        <v>16.328631309179404</v>
      </c>
      <c r="K68" s="44">
        <f>+IF(D68="Weekday",J68/$F$86,IF(D68="Saturday",J68/$F$87,IF(D68="Sunday",J68/$F$88,"NA")))</f>
        <v>0.80221618339122747</v>
      </c>
      <c r="L68" s="68">
        <f t="shared" si="5"/>
        <v>14.476093226817424</v>
      </c>
      <c r="M68" s="45"/>
    </row>
    <row r="69" spans="1:13" x14ac:dyDescent="0.25">
      <c r="A69" s="56" t="s">
        <v>34</v>
      </c>
      <c r="B69" s="13">
        <v>17</v>
      </c>
      <c r="C69" t="s">
        <v>35</v>
      </c>
      <c r="D69" s="13" t="s">
        <v>16</v>
      </c>
      <c r="E69" s="8">
        <v>961774.33641088184</v>
      </c>
      <c r="F69" s="8">
        <v>71891.377384926862</v>
      </c>
      <c r="G69" s="8">
        <f t="shared" ref="G69:G82" si="6">E69-F69</f>
        <v>889882.95902595494</v>
      </c>
      <c r="H69" s="15">
        <v>79401.19754152438</v>
      </c>
      <c r="I69" s="16">
        <v>3987.109999999996</v>
      </c>
      <c r="J69" s="9">
        <f t="shared" ref="J69:J81" si="7">G69/H69</f>
        <v>11.207424907673131</v>
      </c>
      <c r="K69" s="44">
        <f>+IF(D69="Weekday",J69/$F$86,IF(D69="Saturday",J69/$F$87,IF(D69="Sunday",J69/$F$88,"NA")))</f>
        <v>0.55061428388201827</v>
      </c>
      <c r="L69" s="68">
        <f t="shared" ref="L69:L82" si="8">H69/I69</f>
        <v>19.91447377712791</v>
      </c>
      <c r="M69" s="45"/>
    </row>
    <row r="70" spans="1:13" x14ac:dyDescent="0.25">
      <c r="A70" s="56" t="s">
        <v>34</v>
      </c>
      <c r="B70" s="13">
        <v>18</v>
      </c>
      <c r="C70" t="s">
        <v>35</v>
      </c>
      <c r="D70" s="13" t="s">
        <v>16</v>
      </c>
      <c r="E70" s="8">
        <v>1778439.7643535123</v>
      </c>
      <c r="F70" s="8">
        <v>135012.39169338057</v>
      </c>
      <c r="G70" s="8">
        <f t="shared" si="6"/>
        <v>1643427.3726601317</v>
      </c>
      <c r="H70" s="15">
        <v>173165.485231595</v>
      </c>
      <c r="I70" s="16">
        <v>7293.4899999999907</v>
      </c>
      <c r="J70" s="9">
        <f t="shared" si="7"/>
        <v>9.4905019349680391</v>
      </c>
      <c r="K70" s="44">
        <f>+IF(D70="Weekday",J70/$F$86,IF(D70="Saturday",J70/$F$87,IF(D70="Sunday",J70/$F$88,"NA")))</f>
        <v>0.46626285428204289</v>
      </c>
      <c r="L70" s="68">
        <f t="shared" si="8"/>
        <v>23.742472428370398</v>
      </c>
      <c r="M70" s="45"/>
    </row>
    <row r="71" spans="1:13" x14ac:dyDescent="0.25">
      <c r="A71" s="56" t="s">
        <v>34</v>
      </c>
      <c r="B71" s="13">
        <v>21</v>
      </c>
      <c r="C71" t="s">
        <v>35</v>
      </c>
      <c r="D71" s="13" t="s">
        <v>16</v>
      </c>
      <c r="E71" s="8">
        <v>1936489.7647775316</v>
      </c>
      <c r="F71" s="8">
        <v>133044.68452789716</v>
      </c>
      <c r="G71" s="8">
        <f t="shared" si="6"/>
        <v>1803445.0802496346</v>
      </c>
      <c r="H71" s="15">
        <v>208165.46498755633</v>
      </c>
      <c r="I71" s="16">
        <v>8000.2600000000029</v>
      </c>
      <c r="J71" s="9">
        <f t="shared" si="7"/>
        <v>8.6635171706192491</v>
      </c>
      <c r="K71" s="44">
        <f>+IF(D71="Weekday",J71/$F$86,IF(D71="Saturday",J71/$F$87,IF(D71="Sunday",J71/$F$88,"NA")))</f>
        <v>0.42563357257331652</v>
      </c>
      <c r="L71" s="68">
        <f t="shared" si="8"/>
        <v>26.019837478726473</v>
      </c>
      <c r="M71" s="45"/>
    </row>
    <row r="72" spans="1:13" x14ac:dyDescent="0.25">
      <c r="A72" s="56" t="s">
        <v>34</v>
      </c>
      <c r="B72" s="13">
        <v>22</v>
      </c>
      <c r="C72" t="s">
        <v>35</v>
      </c>
      <c r="D72" s="13" t="s">
        <v>16</v>
      </c>
      <c r="E72" s="8">
        <v>1183773.4636991445</v>
      </c>
      <c r="F72" s="8">
        <v>54278.792025937233</v>
      </c>
      <c r="G72" s="8">
        <f t="shared" si="6"/>
        <v>1129494.6716732073</v>
      </c>
      <c r="H72" s="15">
        <v>72188.64089150785</v>
      </c>
      <c r="I72" s="16">
        <v>5148.6700000000019</v>
      </c>
      <c r="J72" s="9">
        <f t="shared" si="7"/>
        <v>15.646432149494578</v>
      </c>
      <c r="K72" s="44">
        <f>+IF(D72="Weekday",J72/$F$86,IF(D72="Saturday",J72/$F$87,IF(D72="Sunday",J72/$F$88,"NA")))</f>
        <v>0.7687001344442832</v>
      </c>
      <c r="L72" s="68">
        <f t="shared" si="8"/>
        <v>14.020832737679406</v>
      </c>
      <c r="M72" s="45"/>
    </row>
    <row r="73" spans="1:13" x14ac:dyDescent="0.25">
      <c r="A73" s="56" t="s">
        <v>34</v>
      </c>
      <c r="B73" s="13">
        <v>54</v>
      </c>
      <c r="C73" t="s">
        <v>35</v>
      </c>
      <c r="D73" s="13" t="s">
        <v>16</v>
      </c>
      <c r="E73" s="8">
        <v>954575.57061236363</v>
      </c>
      <c r="F73" s="8">
        <v>97438.75982234109</v>
      </c>
      <c r="G73" s="8">
        <f t="shared" si="6"/>
        <v>857136.8107900226</v>
      </c>
      <c r="H73" s="15">
        <v>88784.564493579121</v>
      </c>
      <c r="I73" s="16">
        <v>3835.8099999999959</v>
      </c>
      <c r="J73" s="9">
        <f t="shared" si="7"/>
        <v>9.6541196736062211</v>
      </c>
      <c r="K73" s="44">
        <f>+IF(D73="Weekday",J73/$F$86,IF(D73="Saturday",J73/$F$87,IF(D73="Sunday",J73/$F$88,"NA")))</f>
        <v>0.47430129886077732</v>
      </c>
      <c r="L73" s="68">
        <f t="shared" si="8"/>
        <v>23.146236256117799</v>
      </c>
      <c r="M73" s="45"/>
    </row>
    <row r="74" spans="1:13" x14ac:dyDescent="0.25">
      <c r="A74" s="56" t="s">
        <v>34</v>
      </c>
      <c r="B74" s="13">
        <v>62</v>
      </c>
      <c r="C74" t="s">
        <v>35</v>
      </c>
      <c r="D74" s="13" t="s">
        <v>16</v>
      </c>
      <c r="E74" s="8">
        <v>517939.31915405393</v>
      </c>
      <c r="F74" s="8">
        <v>28373.860136231033</v>
      </c>
      <c r="G74" s="8">
        <f t="shared" si="6"/>
        <v>489565.45901782287</v>
      </c>
      <c r="H74" s="15">
        <v>34204.191185189906</v>
      </c>
      <c r="I74" s="16">
        <v>1995.7799999999988</v>
      </c>
      <c r="J74" s="9">
        <f t="shared" si="7"/>
        <v>14.313025452559163</v>
      </c>
      <c r="K74" s="44">
        <f>+IF(D74="Weekday",J74/$F$86,IF(D74="Saturday",J74/$F$87,IF(D74="Sunday",J74/$F$88,"NA")))</f>
        <v>0.7031906369812293</v>
      </c>
      <c r="L74" s="68">
        <f t="shared" si="8"/>
        <v>17.138257315530733</v>
      </c>
      <c r="M74" s="45"/>
    </row>
    <row r="75" spans="1:13" x14ac:dyDescent="0.25">
      <c r="A75" s="56" t="s">
        <v>34</v>
      </c>
      <c r="B75" s="13">
        <v>63</v>
      </c>
      <c r="C75" t="s">
        <v>35</v>
      </c>
      <c r="D75" s="13" t="s">
        <v>16</v>
      </c>
      <c r="E75" s="8">
        <v>1163805.9120045365</v>
      </c>
      <c r="F75" s="8">
        <v>72384.411381946396</v>
      </c>
      <c r="G75" s="8">
        <f t="shared" si="6"/>
        <v>1091421.5006225901</v>
      </c>
      <c r="H75" s="15">
        <v>70242.795918591277</v>
      </c>
      <c r="I75" s="16">
        <v>4629.55</v>
      </c>
      <c r="J75" s="9">
        <f t="shared" si="7"/>
        <v>15.537842512526209</v>
      </c>
      <c r="K75" s="44">
        <f>+IF(D75="Weekday",J75/$F$86,IF(D75="Saturday",J75/$F$87,IF(D75="Sunday",J75/$F$88,"NA")))</f>
        <v>0.76336518857679758</v>
      </c>
      <c r="L75" s="68">
        <f t="shared" si="8"/>
        <v>15.172704888939805</v>
      </c>
      <c r="M75" s="45"/>
    </row>
    <row r="76" spans="1:13" x14ac:dyDescent="0.25">
      <c r="A76" s="56" t="s">
        <v>34</v>
      </c>
      <c r="B76" s="13">
        <v>64</v>
      </c>
      <c r="C76" t="s">
        <v>35</v>
      </c>
      <c r="D76" s="13" t="s">
        <v>16</v>
      </c>
      <c r="E76" s="8">
        <v>959224.20672765817</v>
      </c>
      <c r="F76" s="8">
        <v>62505.345590009536</v>
      </c>
      <c r="G76" s="8">
        <f t="shared" si="6"/>
        <v>896718.86113764858</v>
      </c>
      <c r="H76" s="15">
        <v>83468.444543260848</v>
      </c>
      <c r="I76" s="16">
        <v>3950.5900000000006</v>
      </c>
      <c r="J76" s="9">
        <f t="shared" si="7"/>
        <v>10.743207999675713</v>
      </c>
      <c r="K76" s="44">
        <f>+IF(D76="Weekday",J76/$F$86,IF(D76="Saturday",J76/$F$87,IF(D76="Sunday",J76/$F$88,"NA")))</f>
        <v>0.52780757650109933</v>
      </c>
      <c r="L76" s="68">
        <f t="shared" si="8"/>
        <v>21.12809594092549</v>
      </c>
      <c r="M76" s="45"/>
    </row>
    <row r="77" spans="1:13" x14ac:dyDescent="0.25">
      <c r="A77" s="56" t="s">
        <v>34</v>
      </c>
      <c r="B77" s="13">
        <v>68</v>
      </c>
      <c r="C77" t="s">
        <v>35</v>
      </c>
      <c r="D77" s="13" t="s">
        <v>16</v>
      </c>
      <c r="E77" s="8">
        <v>930213.30752198689</v>
      </c>
      <c r="F77" s="8">
        <v>41666.191431888918</v>
      </c>
      <c r="G77" s="8">
        <f t="shared" si="6"/>
        <v>888547.11609009793</v>
      </c>
      <c r="H77" s="15">
        <v>59031.322857459323</v>
      </c>
      <c r="I77" s="16">
        <v>3864.600000000004</v>
      </c>
      <c r="J77" s="9">
        <f t="shared" si="7"/>
        <v>15.052129498023255</v>
      </c>
      <c r="K77" s="44">
        <f>+IF(D77="Weekday",J77/$F$86,IF(D77="Saturday",J77/$F$87,IF(D77="Sunday",J77/$F$88,"NA")))</f>
        <v>0.73950238995392947</v>
      </c>
      <c r="L77" s="68">
        <f t="shared" si="8"/>
        <v>15.274885591641894</v>
      </c>
      <c r="M77" s="45"/>
    </row>
    <row r="78" spans="1:13" x14ac:dyDescent="0.25">
      <c r="A78" s="56" t="s">
        <v>34</v>
      </c>
      <c r="B78" s="13">
        <v>70</v>
      </c>
      <c r="C78" t="s">
        <v>35</v>
      </c>
      <c r="D78" s="13" t="s">
        <v>16</v>
      </c>
      <c r="E78" s="8">
        <v>100291.1954721845</v>
      </c>
      <c r="F78" s="8">
        <v>2910.7656781276396</v>
      </c>
      <c r="G78" s="8">
        <f t="shared" si="6"/>
        <v>97380.42979405685</v>
      </c>
      <c r="H78" s="15">
        <v>3576.3179891205723</v>
      </c>
      <c r="I78" s="16">
        <v>398.02999999999975</v>
      </c>
      <c r="J78" s="9">
        <f t="shared" si="7"/>
        <v>27.22924250312624</v>
      </c>
      <c r="K78" s="44">
        <f>+IF(D78="Weekday",J78/$F$86,IF(D78="Saturday",J78/$F$87,IF(D78="Sunday",J78/$F$88,"NA")))</f>
        <v>1.3377568875115893</v>
      </c>
      <c r="L78" s="68">
        <f t="shared" si="8"/>
        <v>8.9850463259567732</v>
      </c>
      <c r="M78" s="45"/>
    </row>
    <row r="79" spans="1:13" x14ac:dyDescent="0.25">
      <c r="A79" s="56" t="s">
        <v>40</v>
      </c>
      <c r="B79">
        <v>70</v>
      </c>
      <c r="C79" t="s">
        <v>35</v>
      </c>
      <c r="D79" s="13" t="s">
        <v>16</v>
      </c>
      <c r="E79" s="8">
        <v>3339.6123744703646</v>
      </c>
      <c r="F79" s="8">
        <v>16.899999999999999</v>
      </c>
      <c r="G79" s="8">
        <f t="shared" si="6"/>
        <v>3322.7123744703645</v>
      </c>
      <c r="H79" s="12">
        <v>35</v>
      </c>
      <c r="I79" s="16">
        <v>30.08</v>
      </c>
      <c r="J79" s="9">
        <f t="shared" si="7"/>
        <v>94.93463927058184</v>
      </c>
      <c r="K79" s="44">
        <f>+IF(D79="Weekday",J79/$F$86,IF(D79="Saturday",J79/$F$87,IF(D79="Sunday",J79/$F$88,"NA")))</f>
        <v>4.6640837523507317</v>
      </c>
      <c r="L79" s="68">
        <f t="shared" si="8"/>
        <v>1.1635638297872342</v>
      </c>
      <c r="M79" s="45"/>
    </row>
    <row r="80" spans="1:13" x14ac:dyDescent="0.25">
      <c r="A80" s="56" t="s">
        <v>34</v>
      </c>
      <c r="B80" s="13">
        <v>71</v>
      </c>
      <c r="C80" t="s">
        <v>35</v>
      </c>
      <c r="D80" s="13" t="s">
        <v>16</v>
      </c>
      <c r="E80" s="8">
        <v>171711.15033443598</v>
      </c>
      <c r="F80" s="8">
        <v>6744.2235227422325</v>
      </c>
      <c r="G80" s="8">
        <f t="shared" si="6"/>
        <v>164966.92681169376</v>
      </c>
      <c r="H80" s="15">
        <v>7882.1964381028956</v>
      </c>
      <c r="I80" s="16">
        <v>669.1800000000004</v>
      </c>
      <c r="J80" s="9">
        <f t="shared" si="7"/>
        <v>20.929055512272715</v>
      </c>
      <c r="K80" s="44">
        <f>+IF(D80="Weekday",J80/$F$86,IF(D80="Saturday",J80/$F$87,IF(D80="Sunday",J80/$F$88,"NA")))</f>
        <v>1.0282323556169701</v>
      </c>
      <c r="L80" s="68">
        <f t="shared" si="8"/>
        <v>11.778888248457651</v>
      </c>
      <c r="M80" s="45"/>
    </row>
    <row r="81" spans="1:13" x14ac:dyDescent="0.25">
      <c r="A81" s="56" t="s">
        <v>34</v>
      </c>
      <c r="B81" s="13">
        <v>74</v>
      </c>
      <c r="C81" t="s">
        <v>35</v>
      </c>
      <c r="D81" s="13" t="s">
        <v>16</v>
      </c>
      <c r="E81" s="8">
        <v>994940.53227677266</v>
      </c>
      <c r="F81" s="8">
        <v>55258.31035275881</v>
      </c>
      <c r="G81" s="8">
        <f t="shared" si="6"/>
        <v>939682.22192401381</v>
      </c>
      <c r="H81" s="15">
        <v>59547.481626612229</v>
      </c>
      <c r="I81" s="16">
        <v>3965.3399999999974</v>
      </c>
      <c r="J81" s="9">
        <f t="shared" si="7"/>
        <v>15.780385605829929</v>
      </c>
      <c r="K81" s="44">
        <f>+IF(D81="Weekday",J81/$F$86,IF(D81="Saturday",J81/$F$87,IF(D81="Sunday",J81/$F$88,"NA")))</f>
        <v>0.77528119004280105</v>
      </c>
      <c r="L81" s="68">
        <f t="shared" si="8"/>
        <v>15.016992647947532</v>
      </c>
      <c r="M81" s="45"/>
    </row>
    <row r="82" spans="1:13" ht="15.75" thickBot="1" x14ac:dyDescent="0.3">
      <c r="A82" s="60" t="s">
        <v>40</v>
      </c>
      <c r="B82" s="50">
        <v>67</v>
      </c>
      <c r="C82" s="50" t="s">
        <v>35</v>
      </c>
      <c r="D82" s="50" t="s">
        <v>16</v>
      </c>
      <c r="E82" s="65">
        <v>182708.09526080723</v>
      </c>
      <c r="F82" s="65">
        <v>5338.4666869296334</v>
      </c>
      <c r="G82" s="65">
        <f t="shared" si="6"/>
        <v>177369.62857387759</v>
      </c>
      <c r="H82" s="66">
        <v>6696</v>
      </c>
      <c r="I82" s="123">
        <v>1628.0809999999999</v>
      </c>
      <c r="J82" s="51">
        <f>G82/H82</f>
        <v>26.488893156194383</v>
      </c>
      <c r="K82" s="52">
        <f>+IF(D82="Weekday",J82/$F$86,IF(D82="Saturday",J82/$F$87,IF(D82="Sunday",J82/$F$88,"NA")))</f>
        <v>1.3013839536002221</v>
      </c>
      <c r="L82" s="72">
        <f t="shared" si="8"/>
        <v>4.1128174826682455</v>
      </c>
      <c r="M82" s="54"/>
    </row>
    <row r="83" spans="1:13" x14ac:dyDescent="0.25">
      <c r="E83" s="8"/>
      <c r="G83" s="8"/>
      <c r="H83" s="8"/>
      <c r="I83" s="9"/>
    </row>
    <row r="84" spans="1:13" ht="15.75" thickBot="1" x14ac:dyDescent="0.3"/>
    <row r="85" spans="1:13" ht="48" x14ac:dyDescent="0.25">
      <c r="D85" s="168" t="s">
        <v>123</v>
      </c>
      <c r="E85" s="55" t="s">
        <v>90</v>
      </c>
      <c r="F85" s="69" t="s">
        <v>91</v>
      </c>
      <c r="G85" s="69" t="s">
        <v>92</v>
      </c>
      <c r="H85" s="69" t="s">
        <v>93</v>
      </c>
      <c r="I85" s="70" t="s">
        <v>94</v>
      </c>
      <c r="J85" s="175" t="s">
        <v>122</v>
      </c>
    </row>
    <row r="86" spans="1:13" x14ac:dyDescent="0.25">
      <c r="D86" s="164">
        <f>COUNTIF(D5:D82, "Weekday")</f>
        <v>28</v>
      </c>
      <c r="E86" s="56" t="s">
        <v>7</v>
      </c>
      <c r="F86" s="47">
        <f>AVERAGEIF($D$5:$D$82,"Weekday",J5:J82)</f>
        <v>12.572135951385842</v>
      </c>
      <c r="G86" s="57">
        <f>F86*1.2</f>
        <v>15.08656314166301</v>
      </c>
      <c r="H86" s="58">
        <f>F86*1.35</f>
        <v>16.972383534370888</v>
      </c>
      <c r="I86" s="59">
        <f>F86*1.6</f>
        <v>20.115417522217349</v>
      </c>
      <c r="J86" s="176">
        <f>+SUMIF($D$5:$D$82,"Weekday",$G$5:$G$82)/SUMIF($D$5:$D$65,"Weekday",$H$5:$H$82)</f>
        <v>10.318797925613755</v>
      </c>
    </row>
    <row r="87" spans="1:13" x14ac:dyDescent="0.25">
      <c r="D87" s="164">
        <f>COUNTIF(D5:D82, "Saturday")</f>
        <v>26</v>
      </c>
      <c r="E87" s="56" t="s">
        <v>15</v>
      </c>
      <c r="F87" s="47">
        <f>AVERAGEIF($D$5:$D$82,"Saturday",J5:J82)</f>
        <v>18.676746257004936</v>
      </c>
      <c r="G87" s="57">
        <f>F87*1.2</f>
        <v>22.412095508405923</v>
      </c>
      <c r="H87" s="58">
        <f>F87*1.35</f>
        <v>25.213607446956665</v>
      </c>
      <c r="I87" s="59">
        <f>F87*1.6</f>
        <v>29.882794011207899</v>
      </c>
      <c r="J87" s="176">
        <f>+SUMIF($D$5:$D$82,"Saturday",$G$5:$G$82)/SUMIF($D$5:$D$82,"Saturday",$H$5:$H$82)</f>
        <v>12.794209864408801</v>
      </c>
    </row>
    <row r="88" spans="1:13" ht="15.75" thickBot="1" x14ac:dyDescent="0.3">
      <c r="D88" s="165">
        <f>COUNTIF(D5:D82, "Sunday")</f>
        <v>24</v>
      </c>
      <c r="E88" s="56" t="s">
        <v>16</v>
      </c>
      <c r="F88" s="61">
        <f>AVERAGEIF($D$5:$D$82,"Sunday",J5:J82)</f>
        <v>20.35440277476452</v>
      </c>
      <c r="G88" s="57">
        <f>F88*1.2</f>
        <v>24.425283329717423</v>
      </c>
      <c r="H88" s="58">
        <f>F88*1.35</f>
        <v>27.478443745932104</v>
      </c>
      <c r="I88" s="59">
        <f>F88*1.6</f>
        <v>32.567044439623231</v>
      </c>
      <c r="J88" s="177">
        <f>+SUMIF($D$5:$D$82,"Sunday",$G$5:$G$82)/SUMIF($D$5:$D$82,"Sunday",$H$5:$H$82)</f>
        <v>12.961068089143959</v>
      </c>
    </row>
    <row r="89" spans="1:13" ht="15.75" thickBot="1" x14ac:dyDescent="0.3">
      <c r="D89" s="167"/>
      <c r="E89" s="157" t="s">
        <v>119</v>
      </c>
      <c r="F89" s="180">
        <v>20</v>
      </c>
      <c r="G89" s="158"/>
      <c r="H89" s="158"/>
      <c r="I89" s="159"/>
      <c r="J89" s="177">
        <f>+SUM($G$5:$G$82)/SUM($H$5:$H$82)</f>
        <v>10.815695249096198</v>
      </c>
    </row>
  </sheetData>
  <sortState xmlns:xlrd2="http://schemas.microsoft.com/office/spreadsheetml/2017/richdata2" ref="A5:M82">
    <sortCondition ref="D5:D82" customList="Weekday,Wk,Saturday,Sat,Sunday,Sun,Sunday/Holiday,Sunday / Holiday,Reduced"/>
    <sortCondition ref="B5:B82"/>
  </sortState>
  <phoneticPr fontId="14" type="noConversion"/>
  <conditionalFormatting sqref="K1">
    <cfRule type="cellIs" dxfId="47" priority="11" operator="greaterThan">
      <formula>1.6</formula>
    </cfRule>
  </conditionalFormatting>
  <conditionalFormatting sqref="K3">
    <cfRule type="cellIs" dxfId="46" priority="1" operator="greaterThan">
      <formula>1.6</formula>
    </cfRule>
  </conditionalFormatting>
  <conditionalFormatting sqref="K5:K82">
    <cfRule type="cellIs" dxfId="45" priority="7" operator="greaterThan">
      <formula>1.6</formula>
    </cfRule>
    <cfRule type="cellIs" dxfId="44" priority="8" operator="between">
      <formula>1.35</formula>
      <formula>1.6</formula>
    </cfRule>
    <cfRule type="cellIs" dxfId="43" priority="9" operator="between">
      <formula>1.2</formula>
      <formula>1.35</formula>
    </cfRule>
  </conditionalFormatting>
  <conditionalFormatting sqref="L5:L82">
    <cfRule type="cellIs" dxfId="42" priority="16" operator="lessThan">
      <formula>$F$89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A5D-51DF-447F-A92C-EE50EFD3A187}">
  <dimension ref="A1:Q45"/>
  <sheetViews>
    <sheetView zoomScale="120" zoomScaleNormal="120" workbookViewId="0">
      <selection activeCell="G41" sqref="G41:J45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5.140625" bestFit="1" customWidth="1"/>
    <col min="7" max="7" width="12.7109375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6.42578125" bestFit="1" customWidth="1"/>
    <col min="16" max="16" width="20.85546875" bestFit="1" customWidth="1"/>
    <col min="17" max="17" width="26.7109375" bestFit="1" customWidth="1"/>
    <col min="18" max="18" width="19.7109375" bestFit="1" customWidth="1"/>
  </cols>
  <sheetData>
    <row r="1" spans="1:17" ht="18.75" x14ac:dyDescent="0.3">
      <c r="A1" s="32" t="s">
        <v>98</v>
      </c>
    </row>
    <row r="2" spans="1:17" ht="46.5" x14ac:dyDescent="0.7">
      <c r="A2" s="183" t="s">
        <v>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7" ht="15" customHeight="1" thickBot="1" x14ac:dyDescent="0.7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7" ht="48" x14ac:dyDescent="0.25">
      <c r="A4" s="36" t="s">
        <v>10</v>
      </c>
      <c r="B4" s="37" t="s">
        <v>82</v>
      </c>
      <c r="C4" s="38" t="s">
        <v>1</v>
      </c>
      <c r="D4" s="38" t="s">
        <v>2</v>
      </c>
      <c r="E4" s="39" t="s">
        <v>3</v>
      </c>
      <c r="F4" s="40" t="s">
        <v>83</v>
      </c>
      <c r="G4" s="39" t="s">
        <v>84</v>
      </c>
      <c r="H4" s="41" t="s">
        <v>85</v>
      </c>
      <c r="I4" s="41" t="s">
        <v>86</v>
      </c>
      <c r="J4" s="42" t="s">
        <v>28</v>
      </c>
      <c r="K4" s="43" t="s">
        <v>87</v>
      </c>
      <c r="L4" s="43" t="s">
        <v>88</v>
      </c>
      <c r="M4" s="67" t="s">
        <v>89</v>
      </c>
    </row>
    <row r="5" spans="1:17" x14ac:dyDescent="0.25">
      <c r="A5" s="56" t="s">
        <v>34</v>
      </c>
      <c r="B5" s="13">
        <v>5</v>
      </c>
      <c r="C5" t="s">
        <v>36</v>
      </c>
      <c r="D5" s="13" t="s">
        <v>7</v>
      </c>
      <c r="E5" s="8">
        <v>14053688.506833633</v>
      </c>
      <c r="F5" s="8">
        <v>1754152.4588568995</v>
      </c>
      <c r="G5" s="8">
        <f t="shared" ref="G5:G35" si="0">E5-F5</f>
        <v>12299536.047976734</v>
      </c>
      <c r="H5" s="16">
        <v>1556338.5303395751</v>
      </c>
      <c r="I5" s="16">
        <v>60236.690000000031</v>
      </c>
      <c r="J5" s="9">
        <f t="shared" ref="J5:J35" si="1">G5/H5</f>
        <v>7.9028667659427008</v>
      </c>
      <c r="K5" s="73">
        <f>+IF(D5="Weekday",J5/$F$42,IF(D5="Saturday",J5/$F$43,IF(D5="Sunday",J5/$F$44,"NA")))</f>
        <v>0.55843580124241154</v>
      </c>
      <c r="L5" s="2">
        <f t="shared" ref="L5:L35" si="2">H5/I5</f>
        <v>25.837052639173471</v>
      </c>
      <c r="M5" s="45"/>
    </row>
    <row r="6" spans="1:17" x14ac:dyDescent="0.25">
      <c r="A6" s="56" t="s">
        <v>34</v>
      </c>
      <c r="B6" s="13">
        <v>23</v>
      </c>
      <c r="C6" t="s">
        <v>36</v>
      </c>
      <c r="D6" s="13" t="s">
        <v>7</v>
      </c>
      <c r="E6" s="8">
        <v>3013765.3873601095</v>
      </c>
      <c r="F6" s="8">
        <v>201883.01251161922</v>
      </c>
      <c r="G6" s="8">
        <f t="shared" si="0"/>
        <v>2811882.3748484901</v>
      </c>
      <c r="H6" s="16">
        <v>151170.3937306045</v>
      </c>
      <c r="I6" s="16">
        <v>12554.120000000015</v>
      </c>
      <c r="J6" s="9">
        <f t="shared" si="1"/>
        <v>18.600747841270085</v>
      </c>
      <c r="K6" s="73">
        <f>+IF(D6="Weekday",J6/$F$42,IF(D6="Saturday",J6/$F$43,IF(D6="Sunday",J6/$F$44,"NA")))</f>
        <v>1.3143741166448293</v>
      </c>
      <c r="L6" s="2">
        <f t="shared" si="2"/>
        <v>12.041496634619099</v>
      </c>
      <c r="M6" s="45"/>
    </row>
    <row r="7" spans="1:17" x14ac:dyDescent="0.25">
      <c r="A7" s="56" t="s">
        <v>40</v>
      </c>
      <c r="B7">
        <v>27</v>
      </c>
      <c r="C7" t="s">
        <v>36</v>
      </c>
      <c r="D7" t="s">
        <v>7</v>
      </c>
      <c r="E7" s="8">
        <v>220574.12587956211</v>
      </c>
      <c r="F7" s="8">
        <v>5065.8754198908464</v>
      </c>
      <c r="G7" s="8">
        <f t="shared" si="0"/>
        <v>215508.25045967125</v>
      </c>
      <c r="H7" s="16">
        <v>6094</v>
      </c>
      <c r="I7" s="16">
        <v>2312.8999999999996</v>
      </c>
      <c r="J7" s="9">
        <f t="shared" si="1"/>
        <v>35.364005654688427</v>
      </c>
      <c r="K7" s="73">
        <f>+IF(D7="Weekday",J7/$F$42,IF(D7="Saturday",J7/$F$43,IF(D7="Sunday",J7/$F$44,"NA")))</f>
        <v>2.4989067154748348</v>
      </c>
      <c r="L7" s="2">
        <f t="shared" si="2"/>
        <v>2.6347874962168709</v>
      </c>
      <c r="M7" s="45"/>
    </row>
    <row r="8" spans="1:17" x14ac:dyDescent="0.25">
      <c r="A8" s="56" t="s">
        <v>40</v>
      </c>
      <c r="B8">
        <v>30</v>
      </c>
      <c r="C8" t="s">
        <v>36</v>
      </c>
      <c r="D8" t="s">
        <v>7</v>
      </c>
      <c r="E8" s="8">
        <v>1162680.6403723189</v>
      </c>
      <c r="F8" s="8">
        <v>54501.88676951571</v>
      </c>
      <c r="G8" s="8">
        <f t="shared" si="0"/>
        <v>1108178.7536028032</v>
      </c>
      <c r="H8" s="16">
        <v>61371</v>
      </c>
      <c r="I8" s="16">
        <v>9551.5</v>
      </c>
      <c r="J8" s="9">
        <f t="shared" si="1"/>
        <v>18.057042472874862</v>
      </c>
      <c r="K8" s="73">
        <f>+IF(D8="Weekday",J8/$F$42,IF(D8="Saturday",J8/$F$43,IF(D8="Sunday",J8/$F$44,"NA")))</f>
        <v>1.2759545719363126</v>
      </c>
      <c r="L8" s="2">
        <f t="shared" si="2"/>
        <v>6.4252735172485993</v>
      </c>
      <c r="M8" s="45"/>
    </row>
    <row r="9" spans="1:17" x14ac:dyDescent="0.25">
      <c r="A9" s="56" t="s">
        <v>34</v>
      </c>
      <c r="B9" s="13">
        <v>32</v>
      </c>
      <c r="C9" t="s">
        <v>36</v>
      </c>
      <c r="D9" s="13" t="s">
        <v>7</v>
      </c>
      <c r="E9" s="8">
        <v>2574749.498530258</v>
      </c>
      <c r="F9" s="8">
        <v>297728.67494442582</v>
      </c>
      <c r="G9" s="8">
        <f t="shared" si="0"/>
        <v>2277020.823585832</v>
      </c>
      <c r="H9" s="16">
        <v>216180.11764747847</v>
      </c>
      <c r="I9" s="16">
        <v>9400.7500000000164</v>
      </c>
      <c r="J9" s="9">
        <f t="shared" si="1"/>
        <v>10.532979852009028</v>
      </c>
      <c r="K9" s="73">
        <f>+IF(D9="Weekday",J9/$F$42,IF(D9="Saturday",J9/$F$43,IF(D9="Sunday",J9/$F$44,"NA")))</f>
        <v>0.74428599359351588</v>
      </c>
      <c r="L9" s="2">
        <f t="shared" si="2"/>
        <v>22.996050064886109</v>
      </c>
      <c r="M9" s="45"/>
    </row>
    <row r="10" spans="1:17" x14ac:dyDescent="0.25">
      <c r="A10" s="56" t="s">
        <v>40</v>
      </c>
      <c r="B10">
        <v>33</v>
      </c>
      <c r="C10" t="s">
        <v>36</v>
      </c>
      <c r="D10" t="s">
        <v>7</v>
      </c>
      <c r="E10" s="8">
        <v>89474.382969251034</v>
      </c>
      <c r="F10" s="8">
        <v>12110.953272928224</v>
      </c>
      <c r="G10" s="8">
        <f t="shared" si="0"/>
        <v>77363.429696322812</v>
      </c>
      <c r="H10" s="16">
        <v>11212</v>
      </c>
      <c r="I10" s="16">
        <v>787.6</v>
      </c>
      <c r="J10" s="9">
        <f t="shared" si="1"/>
        <v>6.900056162711631</v>
      </c>
      <c r="K10" s="73">
        <f>+IF(D10="Weekday",J10/$F$42,IF(D10="Saturday",J10/$F$43,IF(D10="Sunday",J10/$F$44,"NA")))</f>
        <v>0.48757476317922871</v>
      </c>
      <c r="L10" s="2">
        <f t="shared" si="2"/>
        <v>14.235652615540884</v>
      </c>
      <c r="M10" s="45"/>
      <c r="N10" s="3"/>
      <c r="O10" s="3"/>
      <c r="P10" s="3"/>
      <c r="Q10" s="3"/>
    </row>
    <row r="11" spans="1:17" x14ac:dyDescent="0.25">
      <c r="A11" s="56" t="s">
        <v>34</v>
      </c>
      <c r="B11" s="13">
        <v>46</v>
      </c>
      <c r="C11" t="s">
        <v>36</v>
      </c>
      <c r="D11" s="13" t="s">
        <v>7</v>
      </c>
      <c r="E11" s="8">
        <v>3034405.839561455</v>
      </c>
      <c r="F11" s="8">
        <v>223812.84220590975</v>
      </c>
      <c r="G11" s="8">
        <f t="shared" si="0"/>
        <v>2810592.9973555454</v>
      </c>
      <c r="H11" s="16">
        <v>122495.72418644172</v>
      </c>
      <c r="I11" s="16">
        <v>12042.180000000002</v>
      </c>
      <c r="J11" s="9">
        <f t="shared" si="1"/>
        <v>22.944417170657719</v>
      </c>
      <c r="K11" s="73">
        <f>+IF(D11="Weekday",J11/$F$42,IF(D11="Saturday",J11/$F$43,IF(D11="Sunday",J11/$F$44,"NA")))</f>
        <v>1.6213083639412691</v>
      </c>
      <c r="L11" s="2">
        <f t="shared" si="2"/>
        <v>10.172221656414511</v>
      </c>
      <c r="M11" s="45"/>
      <c r="N11" s="47"/>
      <c r="O11" s="48"/>
      <c r="P11" s="47"/>
      <c r="Q11" s="49"/>
    </row>
    <row r="12" spans="1:17" x14ac:dyDescent="0.25">
      <c r="A12" s="56" t="s">
        <v>34</v>
      </c>
      <c r="B12" s="13">
        <v>65</v>
      </c>
      <c r="C12" t="s">
        <v>36</v>
      </c>
      <c r="D12" s="13" t="s">
        <v>7</v>
      </c>
      <c r="E12" s="8">
        <v>2558779.4474201775</v>
      </c>
      <c r="F12" s="8">
        <v>183659.49914569524</v>
      </c>
      <c r="G12" s="8">
        <f t="shared" si="0"/>
        <v>2375119.948274482</v>
      </c>
      <c r="H12" s="16">
        <v>125527.49993030523</v>
      </c>
      <c r="I12" s="16">
        <v>9315.9999999999618</v>
      </c>
      <c r="J12" s="9">
        <f t="shared" si="1"/>
        <v>18.921112501987093</v>
      </c>
      <c r="K12" s="73">
        <f>+IF(D12="Weekday",J12/$F$42,IF(D12="Saturday",J12/$F$43,IF(D12="Sunday",J12/$F$44,"NA")))</f>
        <v>1.3370118633379959</v>
      </c>
      <c r="L12" s="2">
        <f t="shared" si="2"/>
        <v>13.474398876159913</v>
      </c>
      <c r="M12" s="45"/>
      <c r="N12" s="47"/>
      <c r="O12" s="48"/>
      <c r="P12" s="47"/>
      <c r="Q12" s="49"/>
    </row>
    <row r="13" spans="1:17" x14ac:dyDescent="0.25">
      <c r="A13" s="56" t="s">
        <v>40</v>
      </c>
      <c r="B13">
        <v>65</v>
      </c>
      <c r="C13" t="s">
        <v>36</v>
      </c>
      <c r="D13" t="s">
        <v>7</v>
      </c>
      <c r="E13" s="8">
        <v>42830.652184887076</v>
      </c>
      <c r="F13" s="8">
        <v>5359.573415630347</v>
      </c>
      <c r="G13" s="8">
        <f t="shared" si="0"/>
        <v>37471.078769256732</v>
      </c>
      <c r="H13" s="16">
        <v>6878</v>
      </c>
      <c r="I13" s="16">
        <v>403.37</v>
      </c>
      <c r="J13" s="9">
        <f t="shared" si="1"/>
        <v>5.4479614378099352</v>
      </c>
      <c r="K13" s="73">
        <f>+IF(D13="Weekday",J13/$F$42,IF(D13="Saturday",J13/$F$43,IF(D13="Sunday",J13/$F$44,"NA")))</f>
        <v>0.38496621552220284</v>
      </c>
      <c r="L13" s="2">
        <f t="shared" si="2"/>
        <v>17.051342439943475</v>
      </c>
      <c r="M13" s="45"/>
      <c r="N13" s="47"/>
    </row>
    <row r="14" spans="1:17" x14ac:dyDescent="0.25">
      <c r="A14" s="56" t="s">
        <v>40</v>
      </c>
      <c r="B14">
        <v>80</v>
      </c>
      <c r="C14" t="s">
        <v>36</v>
      </c>
      <c r="D14" t="s">
        <v>7</v>
      </c>
      <c r="E14" s="8">
        <v>395720.40379459743</v>
      </c>
      <c r="F14" s="8">
        <v>38286.88135257041</v>
      </c>
      <c r="G14" s="8">
        <f t="shared" si="0"/>
        <v>357433.522442027</v>
      </c>
      <c r="H14" s="16">
        <v>46166</v>
      </c>
      <c r="I14" s="16">
        <v>3538.22</v>
      </c>
      <c r="J14" s="9">
        <f t="shared" si="1"/>
        <v>7.7423541663134561</v>
      </c>
      <c r="K14" s="73">
        <f>+IF(D14="Weekday",J14/$F$42,IF(D14="Saturday",J14/$F$43,IF(D14="Sunday",J14/$F$44,"NA")))</f>
        <v>0.54709359026528304</v>
      </c>
      <c r="L14" s="2">
        <f t="shared" si="2"/>
        <v>13.047803697904596</v>
      </c>
      <c r="M14" s="45"/>
      <c r="N14" s="47"/>
    </row>
    <row r="15" spans="1:17" x14ac:dyDescent="0.25">
      <c r="A15" s="56" t="s">
        <v>40</v>
      </c>
      <c r="B15">
        <v>83</v>
      </c>
      <c r="C15" t="s">
        <v>36</v>
      </c>
      <c r="D15" t="s">
        <v>7</v>
      </c>
      <c r="E15" s="8">
        <v>698018.65964080882</v>
      </c>
      <c r="F15" s="8">
        <v>49496.938636064282</v>
      </c>
      <c r="G15" s="8">
        <f t="shared" si="0"/>
        <v>648521.72100474453</v>
      </c>
      <c r="H15" s="16">
        <v>61444</v>
      </c>
      <c r="I15" s="16">
        <v>7369.0349999999999</v>
      </c>
      <c r="J15" s="9">
        <f t="shared" si="1"/>
        <v>10.554679399204877</v>
      </c>
      <c r="K15" s="73">
        <f>+IF(D15="Weekday",J15/$F$42,IF(D15="Saturday",J15/$F$43,IF(D15="Sunday",J15/$F$44,"NA")))</f>
        <v>0.7458193364150264</v>
      </c>
      <c r="L15" s="2">
        <f t="shared" si="2"/>
        <v>8.338133826206553</v>
      </c>
      <c r="M15" s="45"/>
    </row>
    <row r="16" spans="1:17" x14ac:dyDescent="0.25">
      <c r="A16" s="56" t="s">
        <v>40</v>
      </c>
      <c r="B16">
        <v>87</v>
      </c>
      <c r="C16" t="s">
        <v>36</v>
      </c>
      <c r="D16" t="s">
        <v>7</v>
      </c>
      <c r="E16" s="8">
        <v>1112635.5868779833</v>
      </c>
      <c r="F16" s="8">
        <v>201986.90857389956</v>
      </c>
      <c r="G16" s="8">
        <f t="shared" si="0"/>
        <v>910648.67830408376</v>
      </c>
      <c r="H16" s="16">
        <v>132878</v>
      </c>
      <c r="I16" s="16">
        <v>10477.915000000001</v>
      </c>
      <c r="J16" s="9">
        <f t="shared" si="1"/>
        <v>6.8532690009187656</v>
      </c>
      <c r="K16" s="73">
        <f>+IF(D16="Weekday",J16/$F$42,IF(D16="Saturday",J16/$F$43,IF(D16="Sunday",J16/$F$44,"NA")))</f>
        <v>0.48426866844709254</v>
      </c>
      <c r="L16" s="2">
        <f t="shared" si="2"/>
        <v>12.681721506616535</v>
      </c>
      <c r="M16" s="45"/>
    </row>
    <row r="17" spans="1:13" x14ac:dyDescent="0.25">
      <c r="A17" s="56" t="s">
        <v>34</v>
      </c>
      <c r="B17" s="13">
        <v>5</v>
      </c>
      <c r="C17" t="s">
        <v>36</v>
      </c>
      <c r="D17" s="13" t="s">
        <v>15</v>
      </c>
      <c r="E17" s="8">
        <v>2362207.2532962887</v>
      </c>
      <c r="F17" s="8">
        <v>174336.34415606584</v>
      </c>
      <c r="G17" s="8">
        <f t="shared" si="0"/>
        <v>2187870.9091402227</v>
      </c>
      <c r="H17" s="16">
        <v>222655.7551586433</v>
      </c>
      <c r="I17" s="16">
        <v>9951.5000000000036</v>
      </c>
      <c r="J17" s="9">
        <f t="shared" si="1"/>
        <v>9.8262490793528077</v>
      </c>
      <c r="K17" s="73">
        <f>+IF(D17="Weekday",J17/$F$42,IF(D17="Saturday",J17/$F$43,IF(D17="Sunday",J17/$F$44,"NA")))</f>
        <v>0.51081821495404722</v>
      </c>
      <c r="L17" s="2">
        <f t="shared" si="2"/>
        <v>22.374089851644797</v>
      </c>
      <c r="M17" s="45"/>
    </row>
    <row r="18" spans="1:13" x14ac:dyDescent="0.25">
      <c r="A18" s="56" t="s">
        <v>34</v>
      </c>
      <c r="B18" s="13">
        <v>23</v>
      </c>
      <c r="C18" t="s">
        <v>36</v>
      </c>
      <c r="D18" s="13" t="s">
        <v>15</v>
      </c>
      <c r="E18" s="8">
        <v>524358.17331403273</v>
      </c>
      <c r="F18" s="8">
        <v>25615.405409801584</v>
      </c>
      <c r="G18" s="8">
        <f t="shared" si="0"/>
        <v>498742.76790423115</v>
      </c>
      <c r="H18" s="16">
        <v>23079.971032081765</v>
      </c>
      <c r="I18" s="16">
        <v>2139.3199999999988</v>
      </c>
      <c r="J18" s="9">
        <f t="shared" si="1"/>
        <v>21.609332490537604</v>
      </c>
      <c r="K18" s="73">
        <f>+IF(D18="Weekday",J18/$F$42,IF(D18="Saturday",J18/$F$43,IF(D18="Sunday",J18/$F$44,"NA")))</f>
        <v>1.1233625933988585</v>
      </c>
      <c r="L18" s="2">
        <f t="shared" si="2"/>
        <v>10.788461301760268</v>
      </c>
      <c r="M18" s="45"/>
    </row>
    <row r="19" spans="1:13" x14ac:dyDescent="0.25">
      <c r="A19" s="56" t="s">
        <v>40</v>
      </c>
      <c r="B19">
        <v>30</v>
      </c>
      <c r="C19" t="s">
        <v>36</v>
      </c>
      <c r="D19" t="s">
        <v>15</v>
      </c>
      <c r="E19" s="8">
        <v>190712.3463097144</v>
      </c>
      <c r="F19" s="8">
        <v>6119.7286310063992</v>
      </c>
      <c r="G19" s="8">
        <f t="shared" si="0"/>
        <v>184592.61767870799</v>
      </c>
      <c r="H19" s="16">
        <v>6411</v>
      </c>
      <c r="I19" s="16">
        <v>1603.2</v>
      </c>
      <c r="J19" s="9">
        <f t="shared" si="1"/>
        <v>28.793108357308999</v>
      </c>
      <c r="K19" s="73">
        <f>+IF(D19="Weekday",J19/$F$42,IF(D19="Saturday",J19/$F$43,IF(D19="Sunday",J19/$F$44,"NA")))</f>
        <v>1.4968116618338121</v>
      </c>
      <c r="L19" s="2">
        <f t="shared" si="2"/>
        <v>3.9988772455089818</v>
      </c>
      <c r="M19" s="45"/>
    </row>
    <row r="20" spans="1:13" x14ac:dyDescent="0.25">
      <c r="A20" s="56" t="s">
        <v>34</v>
      </c>
      <c r="B20" s="13">
        <v>32</v>
      </c>
      <c r="C20" t="s">
        <v>36</v>
      </c>
      <c r="D20" s="13" t="s">
        <v>15</v>
      </c>
      <c r="E20" s="8">
        <v>417882.09717343107</v>
      </c>
      <c r="F20" s="8">
        <v>20591.405198396147</v>
      </c>
      <c r="G20" s="8">
        <f t="shared" si="0"/>
        <v>397290.69197503495</v>
      </c>
      <c r="H20" s="16">
        <v>28190.047970681146</v>
      </c>
      <c r="I20" s="16">
        <v>1669.1999999999987</v>
      </c>
      <c r="J20" s="9">
        <f t="shared" si="1"/>
        <v>14.093296059241695</v>
      </c>
      <c r="K20" s="73">
        <f>+IF(D20="Weekday",J20/$F$42,IF(D20="Saturday",J20/$F$43,IF(D20="Sunday",J20/$F$44,"NA")))</f>
        <v>0.73264093731632851</v>
      </c>
      <c r="L20" s="2">
        <f t="shared" si="2"/>
        <v>16.888358477522868</v>
      </c>
      <c r="M20" s="45"/>
    </row>
    <row r="21" spans="1:13" x14ac:dyDescent="0.25">
      <c r="A21" s="56" t="s">
        <v>40</v>
      </c>
      <c r="B21">
        <v>33</v>
      </c>
      <c r="C21" t="s">
        <v>36</v>
      </c>
      <c r="D21" t="s">
        <v>15</v>
      </c>
      <c r="E21" s="8">
        <v>17444.483179451345</v>
      </c>
      <c r="F21" s="8">
        <v>593.89809799268085</v>
      </c>
      <c r="G21" s="8">
        <f t="shared" si="0"/>
        <v>16850.585081458663</v>
      </c>
      <c r="H21" s="16">
        <v>433</v>
      </c>
      <c r="I21" s="16">
        <v>123</v>
      </c>
      <c r="J21" s="9">
        <f t="shared" si="1"/>
        <v>38.915900880966888</v>
      </c>
      <c r="K21" s="73">
        <f>+IF(D21="Weekday",J21/$F$42,IF(D21="Saturday",J21/$F$43,IF(D21="Sunday",J21/$F$44,"NA")))</f>
        <v>2.0230457075543051</v>
      </c>
      <c r="L21" s="2">
        <f t="shared" si="2"/>
        <v>3.5203252032520327</v>
      </c>
      <c r="M21" s="45"/>
    </row>
    <row r="22" spans="1:13" x14ac:dyDescent="0.25">
      <c r="A22" s="56" t="s">
        <v>34</v>
      </c>
      <c r="B22" s="13">
        <v>65</v>
      </c>
      <c r="C22" t="s">
        <v>36</v>
      </c>
      <c r="D22" s="13" t="s">
        <v>15</v>
      </c>
      <c r="E22" s="8">
        <v>504885.77482249867</v>
      </c>
      <c r="F22" s="8">
        <v>18351.777682266533</v>
      </c>
      <c r="G22" s="8">
        <f t="shared" si="0"/>
        <v>486533.99714023212</v>
      </c>
      <c r="H22" s="16">
        <v>16768.326938407481</v>
      </c>
      <c r="I22" s="16">
        <v>1858.1500000000015</v>
      </c>
      <c r="J22" s="9">
        <f t="shared" si="1"/>
        <v>29.01505910084785</v>
      </c>
      <c r="K22" s="73">
        <f>+IF(D22="Weekday",J22/$F$42,IF(D22="Saturday",J22/$F$43,IF(D22="Sunday",J22/$F$44,"NA")))</f>
        <v>1.5083497860668391</v>
      </c>
      <c r="L22" s="2">
        <f t="shared" si="2"/>
        <v>9.0242052247705882</v>
      </c>
      <c r="M22" s="45"/>
    </row>
    <row r="23" spans="1:13" x14ac:dyDescent="0.25">
      <c r="A23" s="56" t="s">
        <v>40</v>
      </c>
      <c r="B23">
        <v>65</v>
      </c>
      <c r="C23" t="s">
        <v>36</v>
      </c>
      <c r="D23" t="s">
        <v>15</v>
      </c>
      <c r="E23" s="8">
        <v>10659.735553037568</v>
      </c>
      <c r="F23" s="8">
        <v>950.79465994323743</v>
      </c>
      <c r="G23" s="8">
        <f t="shared" si="0"/>
        <v>9708.94089309433</v>
      </c>
      <c r="H23" s="16">
        <v>1085</v>
      </c>
      <c r="I23" s="16">
        <v>103.62</v>
      </c>
      <c r="J23" s="9">
        <f t="shared" si="1"/>
        <v>8.9483326203634377</v>
      </c>
      <c r="K23" s="73">
        <f>+IF(D23="Weekday",J23/$F$42,IF(D23="Saturday",J23/$F$43,IF(D23="Sunday",J23/$F$44,"NA")))</f>
        <v>0.46517966917343645</v>
      </c>
      <c r="L23" s="2">
        <f t="shared" si="2"/>
        <v>10.470951553754102</v>
      </c>
      <c r="M23" s="45"/>
    </row>
    <row r="24" spans="1:13" x14ac:dyDescent="0.25">
      <c r="A24" s="56" t="s">
        <v>40</v>
      </c>
      <c r="B24">
        <v>80</v>
      </c>
      <c r="C24" t="s">
        <v>36</v>
      </c>
      <c r="D24" t="s">
        <v>15</v>
      </c>
      <c r="E24" s="8">
        <v>82616.136454290958</v>
      </c>
      <c r="F24" s="8">
        <v>5092.7363941822587</v>
      </c>
      <c r="G24" s="8">
        <f t="shared" si="0"/>
        <v>77523.400060108703</v>
      </c>
      <c r="H24" s="16">
        <v>5944</v>
      </c>
      <c r="I24" s="16">
        <v>732.40200000000004</v>
      </c>
      <c r="J24" s="9">
        <f t="shared" si="1"/>
        <v>13.042294761121921</v>
      </c>
      <c r="K24" s="73">
        <f>+IF(D24="Weekday",J24/$F$42,IF(D24="Saturday",J24/$F$43,IF(D24="Sunday",J24/$F$44,"NA")))</f>
        <v>0.67800456460845393</v>
      </c>
      <c r="L24" s="2">
        <f t="shared" si="2"/>
        <v>8.1157615626390971</v>
      </c>
      <c r="M24" s="45"/>
    </row>
    <row r="25" spans="1:13" x14ac:dyDescent="0.25">
      <c r="A25" s="56" t="s">
        <v>40</v>
      </c>
      <c r="B25">
        <v>83</v>
      </c>
      <c r="C25" t="s">
        <v>36</v>
      </c>
      <c r="D25" t="s">
        <v>15</v>
      </c>
      <c r="E25" s="8">
        <v>122458.73460173952</v>
      </c>
      <c r="F25" s="8">
        <v>6627.6384614705676</v>
      </c>
      <c r="G25" s="8">
        <f t="shared" si="0"/>
        <v>115831.09614026896</v>
      </c>
      <c r="H25" s="16">
        <v>7190</v>
      </c>
      <c r="I25" s="16">
        <v>1223.5440000000001</v>
      </c>
      <c r="J25" s="9">
        <f t="shared" si="1"/>
        <v>16.110027279592344</v>
      </c>
      <c r="K25" s="73">
        <f>+IF(D25="Weekday",J25/$F$42,IF(D25="Saturday",J25/$F$43,IF(D25="Sunday",J25/$F$44,"NA")))</f>
        <v>0.83748084455888627</v>
      </c>
      <c r="L25" s="2">
        <f t="shared" si="2"/>
        <v>5.8763722432540222</v>
      </c>
      <c r="M25" s="45"/>
    </row>
    <row r="26" spans="1:13" x14ac:dyDescent="0.25">
      <c r="A26" s="56" t="s">
        <v>40</v>
      </c>
      <c r="B26">
        <v>87</v>
      </c>
      <c r="C26" t="s">
        <v>36</v>
      </c>
      <c r="D26" t="s">
        <v>15</v>
      </c>
      <c r="E26" s="8">
        <v>246499.89016538585</v>
      </c>
      <c r="F26" s="8">
        <v>22393.711940435547</v>
      </c>
      <c r="G26" s="8">
        <f t="shared" si="0"/>
        <v>224106.1782249503</v>
      </c>
      <c r="H26" s="16">
        <v>18661</v>
      </c>
      <c r="I26" s="16">
        <v>2290.1</v>
      </c>
      <c r="J26" s="9">
        <f t="shared" si="1"/>
        <v>12.009333809814603</v>
      </c>
      <c r="K26" s="73">
        <f>+IF(D26="Weekday",J26/$F$42,IF(D26="Saturday",J26/$F$43,IF(D26="Sunday",J26/$F$44,"NA")))</f>
        <v>0.62430602053503303</v>
      </c>
      <c r="L26" s="2">
        <f t="shared" si="2"/>
        <v>8.1485524649578629</v>
      </c>
      <c r="M26" s="45"/>
    </row>
    <row r="27" spans="1:13" x14ac:dyDescent="0.25">
      <c r="A27" s="56" t="s">
        <v>34</v>
      </c>
      <c r="B27" s="13">
        <v>5</v>
      </c>
      <c r="C27" t="s">
        <v>36</v>
      </c>
      <c r="D27" s="13" t="s">
        <v>16</v>
      </c>
      <c r="E27" s="8">
        <v>2112802.3937793472</v>
      </c>
      <c r="F27" s="8">
        <v>149672.29350405058</v>
      </c>
      <c r="G27" s="8">
        <f t="shared" si="0"/>
        <v>1963130.1002752967</v>
      </c>
      <c r="H27" s="16">
        <v>192257.05225111844</v>
      </c>
      <c r="I27" s="16">
        <v>8752.4999999999982</v>
      </c>
      <c r="J27" s="9">
        <f t="shared" si="1"/>
        <v>10.210965357521111</v>
      </c>
      <c r="K27" s="73">
        <f>+IF(D27="Weekday",J27/$F$42,IF(D27="Saturday",J27/$F$43,IF(D27="Sunday",J27/$F$44,"NA")))</f>
        <v>0.52194183424372664</v>
      </c>
      <c r="L27" s="2">
        <f t="shared" si="2"/>
        <v>21.965958554826447</v>
      </c>
      <c r="M27" s="45"/>
    </row>
    <row r="28" spans="1:13" x14ac:dyDescent="0.25">
      <c r="A28" s="56" t="s">
        <v>34</v>
      </c>
      <c r="B28" s="13">
        <v>23</v>
      </c>
      <c r="C28" t="s">
        <v>36</v>
      </c>
      <c r="D28" s="13" t="s">
        <v>16</v>
      </c>
      <c r="E28" s="8">
        <v>536535.67736322735</v>
      </c>
      <c r="F28" s="8">
        <v>22560.328730648544</v>
      </c>
      <c r="G28" s="8">
        <f t="shared" si="0"/>
        <v>513975.3486325788</v>
      </c>
      <c r="H28" s="16">
        <v>20544.380500112682</v>
      </c>
      <c r="I28" s="16">
        <v>2107.860000000001</v>
      </c>
      <c r="J28" s="9">
        <f t="shared" si="1"/>
        <v>25.017807114201361</v>
      </c>
      <c r="K28" s="73">
        <f>+IF(D28="Weekday",J28/$F$42,IF(D28="Saturday",J28/$F$43,IF(D28="Sunday",J28/$F$44,"NA")))</f>
        <v>1.2788056443971747</v>
      </c>
      <c r="L28" s="2">
        <f t="shared" si="2"/>
        <v>9.7465583578191488</v>
      </c>
      <c r="M28" s="46"/>
    </row>
    <row r="29" spans="1:13" x14ac:dyDescent="0.25">
      <c r="A29" s="56" t="s">
        <v>40</v>
      </c>
      <c r="B29">
        <v>30</v>
      </c>
      <c r="C29" t="s">
        <v>36</v>
      </c>
      <c r="D29" t="s">
        <v>16</v>
      </c>
      <c r="E29" s="8">
        <v>203323.33731831933</v>
      </c>
      <c r="F29" s="8">
        <v>5197.1686955976729</v>
      </c>
      <c r="G29" s="8">
        <f t="shared" si="0"/>
        <v>198126.16862272166</v>
      </c>
      <c r="H29" s="16">
        <v>6145</v>
      </c>
      <c r="I29" s="16">
        <v>1709.3</v>
      </c>
      <c r="J29" s="9">
        <f t="shared" si="1"/>
        <v>32.241850060654457</v>
      </c>
      <c r="K29" s="73">
        <f>+IF(D29="Weekday",J29/$F$42,IF(D29="Saturday",J29/$F$43,IF(D29="Sunday",J29/$F$44,"NA")))</f>
        <v>1.6480684999752633</v>
      </c>
      <c r="L29" s="2">
        <f t="shared" si="2"/>
        <v>3.5950389048148366</v>
      </c>
      <c r="M29" s="45"/>
    </row>
    <row r="30" spans="1:13" x14ac:dyDescent="0.25">
      <c r="A30" s="56" t="s">
        <v>34</v>
      </c>
      <c r="B30" s="13">
        <v>32</v>
      </c>
      <c r="C30" t="s">
        <v>36</v>
      </c>
      <c r="D30" s="13" t="s">
        <v>16</v>
      </c>
      <c r="E30" s="8">
        <v>423047.65146775724</v>
      </c>
      <c r="F30" s="8">
        <v>18083.475243035737</v>
      </c>
      <c r="G30" s="8">
        <f t="shared" si="0"/>
        <v>404964.17622472148</v>
      </c>
      <c r="H30" s="16">
        <v>22698.370964459551</v>
      </c>
      <c r="I30" s="16">
        <v>1622.7900000000013</v>
      </c>
      <c r="J30" s="9">
        <f t="shared" si="1"/>
        <v>17.84111189559826</v>
      </c>
      <c r="K30" s="73">
        <f>+IF(D30="Weekday",J30/$F$42,IF(D30="Saturday",J30/$F$43,IF(D30="Sunday",J30/$F$44,"NA")))</f>
        <v>0.9119630066002673</v>
      </c>
      <c r="L30" s="2">
        <f t="shared" si="2"/>
        <v>13.98725094710932</v>
      </c>
      <c r="M30" s="45"/>
    </row>
    <row r="31" spans="1:13" x14ac:dyDescent="0.25">
      <c r="A31" s="56" t="s">
        <v>34</v>
      </c>
      <c r="B31" s="13">
        <v>65</v>
      </c>
      <c r="C31" t="s">
        <v>36</v>
      </c>
      <c r="D31" s="13" t="s">
        <v>16</v>
      </c>
      <c r="E31" s="8">
        <v>586406.49227783468</v>
      </c>
      <c r="F31" s="8">
        <v>16905.751510656271</v>
      </c>
      <c r="G31" s="8">
        <f t="shared" si="0"/>
        <v>569500.74076717836</v>
      </c>
      <c r="H31" s="16">
        <v>17378.046054718452</v>
      </c>
      <c r="I31" s="16">
        <v>2001.4600000000016</v>
      </c>
      <c r="J31" s="9">
        <f t="shared" si="1"/>
        <v>32.771275836994839</v>
      </c>
      <c r="K31" s="73">
        <f>+IF(D31="Weekday",J31/$F$42,IF(D31="Saturday",J31/$F$43,IF(D31="Sunday",J31/$F$44,"NA")))</f>
        <v>1.6751305309511564</v>
      </c>
      <c r="L31" s="2">
        <f t="shared" si="2"/>
        <v>8.6826846675519054</v>
      </c>
      <c r="M31" s="45"/>
    </row>
    <row r="32" spans="1:13" x14ac:dyDescent="0.25">
      <c r="A32" s="56" t="s">
        <v>40</v>
      </c>
      <c r="B32">
        <v>65</v>
      </c>
      <c r="C32" t="s">
        <v>36</v>
      </c>
      <c r="D32" t="s">
        <v>16</v>
      </c>
      <c r="E32" s="8">
        <v>7139.5438122670221</v>
      </c>
      <c r="F32" s="8">
        <v>438.40746939342887</v>
      </c>
      <c r="G32" s="8">
        <f t="shared" si="0"/>
        <v>6701.1363428735931</v>
      </c>
      <c r="H32" s="16">
        <v>581</v>
      </c>
      <c r="I32" s="16">
        <v>67</v>
      </c>
      <c r="J32" s="9">
        <f t="shared" si="1"/>
        <v>11.533797492037165</v>
      </c>
      <c r="K32" s="73">
        <f>+IF(D32="Weekday",J32/$F$42,IF(D32="Saturday",J32/$F$43,IF(D32="Sunday",J32/$F$44,"NA")))</f>
        <v>0.58955947924702623</v>
      </c>
      <c r="L32" s="2">
        <f t="shared" si="2"/>
        <v>8.6716417910447756</v>
      </c>
      <c r="M32" s="45"/>
    </row>
    <row r="33" spans="1:13" x14ac:dyDescent="0.25">
      <c r="A33" s="56" t="s">
        <v>40</v>
      </c>
      <c r="B33">
        <v>80</v>
      </c>
      <c r="C33" t="s">
        <v>36</v>
      </c>
      <c r="D33" t="s">
        <v>16</v>
      </c>
      <c r="E33" s="8">
        <v>47192.498794905725</v>
      </c>
      <c r="F33" s="8">
        <v>3532.2792010824792</v>
      </c>
      <c r="G33" s="8">
        <f t="shared" si="0"/>
        <v>43660.219593823247</v>
      </c>
      <c r="H33" s="16">
        <v>3980</v>
      </c>
      <c r="I33" s="16">
        <v>417.81</v>
      </c>
      <c r="J33" s="9">
        <f t="shared" si="1"/>
        <v>10.969904420558604</v>
      </c>
      <c r="K33" s="73">
        <f>+IF(D33="Weekday",J33/$F$42,IF(D33="Saturday",J33/$F$43,IF(D33="Sunday",J33/$F$44,"NA")))</f>
        <v>0.560735624328347</v>
      </c>
      <c r="L33" s="2">
        <f t="shared" si="2"/>
        <v>9.5258610373136108</v>
      </c>
      <c r="M33" s="45"/>
    </row>
    <row r="34" spans="1:13" x14ac:dyDescent="0.25">
      <c r="A34" s="56" t="s">
        <v>40</v>
      </c>
      <c r="B34">
        <v>83</v>
      </c>
      <c r="C34" t="s">
        <v>36</v>
      </c>
      <c r="D34" t="s">
        <v>16</v>
      </c>
      <c r="E34" s="8">
        <v>131073.75699510315</v>
      </c>
      <c r="F34" s="8">
        <v>5863.0986598531936</v>
      </c>
      <c r="G34" s="8">
        <f t="shared" si="0"/>
        <v>125210.65833524996</v>
      </c>
      <c r="H34" s="16">
        <v>6685</v>
      </c>
      <c r="I34" s="16">
        <v>1299.03</v>
      </c>
      <c r="J34" s="9">
        <f t="shared" si="1"/>
        <v>18.73009100003739</v>
      </c>
      <c r="K34" s="73">
        <f>+IF(D34="Weekday",J34/$F$42,IF(D34="Saturday",J34/$F$43,IF(D34="Sunday",J34/$F$44,"NA")))</f>
        <v>0.9574038996137314</v>
      </c>
      <c r="L34" s="2">
        <f t="shared" si="2"/>
        <v>5.1461475100652025</v>
      </c>
      <c r="M34" s="45"/>
    </row>
    <row r="35" spans="1:13" ht="15.75" thickBot="1" x14ac:dyDescent="0.3">
      <c r="A35" s="60" t="s">
        <v>40</v>
      </c>
      <c r="B35" s="50">
        <v>87</v>
      </c>
      <c r="C35" s="50" t="s">
        <v>36</v>
      </c>
      <c r="D35" s="50" t="s">
        <v>16</v>
      </c>
      <c r="E35" s="65">
        <v>247689.38314689923</v>
      </c>
      <c r="F35" s="65">
        <v>15731.042282981056</v>
      </c>
      <c r="G35" s="65">
        <f t="shared" si="0"/>
        <v>231958.34086391819</v>
      </c>
      <c r="H35" s="123">
        <v>13845</v>
      </c>
      <c r="I35" s="123">
        <v>2315.7799999999997</v>
      </c>
      <c r="J35" s="51">
        <f t="shared" si="1"/>
        <v>16.753943002088711</v>
      </c>
      <c r="K35" s="74">
        <f>+IF(D35="Weekday",J35/$F$42,IF(D35="Saturday",J35/$F$43,IF(D35="Sunday",J35/$F$44,"NA")))</f>
        <v>0.85639148064330806</v>
      </c>
      <c r="L35" s="75">
        <f t="shared" si="2"/>
        <v>5.9785471849657572</v>
      </c>
      <c r="M35" s="54"/>
    </row>
    <row r="36" spans="1:13" x14ac:dyDescent="0.25">
      <c r="F36" s="8"/>
      <c r="G36" s="9"/>
      <c r="H36" s="12"/>
      <c r="I36" s="12"/>
      <c r="J36" s="9"/>
    </row>
    <row r="37" spans="1:13" x14ac:dyDescent="0.25">
      <c r="F37" s="8"/>
      <c r="G37" s="9"/>
      <c r="H37" s="12"/>
      <c r="I37" s="12"/>
      <c r="J37" s="9"/>
    </row>
    <row r="38" spans="1:13" x14ac:dyDescent="0.25">
      <c r="F38" s="8"/>
      <c r="G38" s="9"/>
      <c r="H38" s="12"/>
      <c r="I38" s="12"/>
      <c r="J38" s="9"/>
    </row>
    <row r="39" spans="1:13" x14ac:dyDescent="0.25">
      <c r="F39" s="8"/>
      <c r="G39" s="9"/>
      <c r="H39" s="12"/>
      <c r="I39" s="12"/>
      <c r="J39" s="9"/>
    </row>
    <row r="40" spans="1:13" ht="15.75" thickBot="1" x14ac:dyDescent="0.3"/>
    <row r="41" spans="1:13" ht="48" x14ac:dyDescent="0.25">
      <c r="D41" s="168" t="s">
        <v>123</v>
      </c>
      <c r="E41" s="55" t="s">
        <v>90</v>
      </c>
      <c r="F41" s="69" t="s">
        <v>91</v>
      </c>
      <c r="G41" s="69" t="s">
        <v>92</v>
      </c>
      <c r="H41" s="69" t="s">
        <v>93</v>
      </c>
      <c r="I41" s="70" t="s">
        <v>94</v>
      </c>
      <c r="J41" s="175" t="s">
        <v>122</v>
      </c>
    </row>
    <row r="42" spans="1:13" x14ac:dyDescent="0.25">
      <c r="D42" s="164">
        <f>COUNTIF($D$5:$D$35, "Weekday")</f>
        <v>12</v>
      </c>
      <c r="E42" s="56" t="s">
        <v>7</v>
      </c>
      <c r="F42" s="47">
        <f>AVERAGEIF($D$5:$D$35,"Weekday",J5:J35)</f>
        <v>14.151791035532378</v>
      </c>
      <c r="G42" s="57">
        <f>F42*1.2</f>
        <v>16.982149242638855</v>
      </c>
      <c r="H42" s="58">
        <f>F42*1.35</f>
        <v>19.104917897968711</v>
      </c>
      <c r="I42" s="59">
        <f>F42*1.6</f>
        <v>22.642865656851807</v>
      </c>
      <c r="J42" s="176">
        <f>+SUMIF($D$5:$D$35,"Weekday",$G$5:$G$35)/SUMIF($D$5:$D$35,"Weekday",$H$5:$H$35)</f>
        <v>10.381032113511729</v>
      </c>
    </row>
    <row r="43" spans="1:13" x14ac:dyDescent="0.25">
      <c r="D43" s="164">
        <f>COUNTIF($D$5:$D$35, "Saturday")</f>
        <v>10</v>
      </c>
      <c r="E43" s="56" t="s">
        <v>15</v>
      </c>
      <c r="F43" s="47">
        <f>AVERAGEIF($D$5:$D$35,"Saturday",J5:J35)</f>
        <v>19.236293443914814</v>
      </c>
      <c r="G43" s="57">
        <f>F43*1.2</f>
        <v>23.083552132697776</v>
      </c>
      <c r="H43" s="58">
        <f>F43*1.35</f>
        <v>25.968996149285001</v>
      </c>
      <c r="I43" s="59">
        <f>F43*1.6</f>
        <v>30.778069510263705</v>
      </c>
      <c r="J43" s="176">
        <f>+SUMIF($D$5:$D$35,"saturday",$G$5:$G$35)/SUMIF($D$5:$D$35,"saturday",$H$5:$H$35)</f>
        <v>12.708296459127244</v>
      </c>
    </row>
    <row r="44" spans="1:13" ht="15.75" thickBot="1" x14ac:dyDescent="0.3">
      <c r="D44" s="165">
        <f>COUNTIF($D$5:$D$35, "Sunday")</f>
        <v>9</v>
      </c>
      <c r="E44" s="56" t="s">
        <v>16</v>
      </c>
      <c r="F44" s="61">
        <f>AVERAGEIF($D$5:$D$35,"Sunday",J5:J35)</f>
        <v>19.563416242187987</v>
      </c>
      <c r="G44" s="57">
        <f>F44*1.2</f>
        <v>23.476099490625582</v>
      </c>
      <c r="H44" s="58">
        <f>F44*1.35</f>
        <v>26.410611926953784</v>
      </c>
      <c r="I44" s="59">
        <f>F44*1.6</f>
        <v>31.30146598750078</v>
      </c>
      <c r="J44" s="177">
        <f>+SUMIF($D$5:$D$35,"Sunday",$G$5:$G$35)/SUMIF($D$5:$D$35,"Sunday",$H$5:$H$35)</f>
        <v>14.28028550152337</v>
      </c>
    </row>
    <row r="45" spans="1:13" ht="15.75" thickBot="1" x14ac:dyDescent="0.3">
      <c r="E45" s="157" t="s">
        <v>119</v>
      </c>
      <c r="F45" s="180">
        <v>15</v>
      </c>
      <c r="G45" s="158"/>
      <c r="H45" s="158"/>
      <c r="I45" s="159"/>
      <c r="J45" s="177">
        <f>+SUM($G$5:$G$35)/SUM($H$5:$H$35)</f>
        <v>10.984061983975</v>
      </c>
    </row>
  </sheetData>
  <sortState xmlns:xlrd2="http://schemas.microsoft.com/office/spreadsheetml/2017/richdata2" ref="A5:M35">
    <sortCondition ref="D5:D35" customList="Weekday,Wk,Saturday,Sat,Sunday,Sun,Sunday/Holiday,Sunday / Holiday,Reduced"/>
    <sortCondition ref="B5:B35"/>
  </sortState>
  <mergeCells count="1">
    <mergeCell ref="A2:M2"/>
  </mergeCells>
  <conditionalFormatting sqref="K1">
    <cfRule type="cellIs" dxfId="41" priority="5" operator="greaterThan">
      <formula>1.6</formula>
    </cfRule>
  </conditionalFormatting>
  <conditionalFormatting sqref="K5:K35">
    <cfRule type="cellIs" dxfId="40" priority="2" operator="greaterThan">
      <formula>1.6</formula>
    </cfRule>
    <cfRule type="cellIs" dxfId="39" priority="3" operator="between">
      <formula>1.35</formula>
      <formula>1.6</formula>
    </cfRule>
    <cfRule type="cellIs" dxfId="38" priority="4" operator="between">
      <formula>1.2</formula>
      <formula>1.35</formula>
    </cfRule>
  </conditionalFormatting>
  <conditionalFormatting sqref="L5:L35">
    <cfRule type="cellIs" dxfId="37" priority="17" operator="lessThan">
      <formula>$F$45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9148-0E12-4E72-99D8-E08F9F3D27D6}">
  <dimension ref="A1:Q105"/>
  <sheetViews>
    <sheetView workbookViewId="0">
      <selection activeCell="E112" sqref="E112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1.7109375" customWidth="1"/>
    <col min="6" max="6" width="15.140625" bestFit="1" customWidth="1"/>
    <col min="7" max="7" width="12.5703125" customWidth="1"/>
    <col min="8" max="8" width="11.7109375" customWidth="1"/>
    <col min="9" max="9" width="11.7109375" style="15" customWidth="1"/>
    <col min="10" max="10" width="11.7109375" customWidth="1"/>
    <col min="11" max="11" width="14.140625" customWidth="1"/>
    <col min="12" max="12" width="11.7109375" customWidth="1"/>
    <col min="13" max="13" width="52.140625" style="31" customWidth="1"/>
    <col min="14" max="14" width="16.42578125" bestFit="1" customWidth="1"/>
    <col min="15" max="15" width="20.85546875" bestFit="1" customWidth="1"/>
    <col min="16" max="16" width="26.7109375" bestFit="1" customWidth="1"/>
    <col min="17" max="17" width="19.7109375" bestFit="1" customWidth="1"/>
  </cols>
  <sheetData>
    <row r="1" spans="1:17" ht="18.75" x14ac:dyDescent="0.3">
      <c r="A1" s="32" t="s">
        <v>100</v>
      </c>
    </row>
    <row r="2" spans="1:17" ht="46.5" x14ac:dyDescent="0.7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11"/>
    </row>
    <row r="3" spans="1:17" ht="47.25" thickBot="1" x14ac:dyDescent="0.7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12"/>
    </row>
    <row r="4" spans="1:17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86</v>
      </c>
      <c r="J4" s="82" t="s">
        <v>28</v>
      </c>
      <c r="K4" s="83" t="s">
        <v>87</v>
      </c>
      <c r="L4" s="83" t="s">
        <v>88</v>
      </c>
      <c r="M4" s="113" t="s">
        <v>89</v>
      </c>
    </row>
    <row r="5" spans="1:17" x14ac:dyDescent="0.25">
      <c r="A5" s="128" t="s">
        <v>40</v>
      </c>
      <c r="B5" s="129">
        <v>219</v>
      </c>
      <c r="C5" s="129" t="s">
        <v>37</v>
      </c>
      <c r="D5" s="129" t="s">
        <v>7</v>
      </c>
      <c r="E5" s="125">
        <v>720199.34899578057</v>
      </c>
      <c r="F5" s="125">
        <v>61523.240995447966</v>
      </c>
      <c r="G5" s="125">
        <f t="shared" ref="G5:G36" si="0">E5-F5</f>
        <v>658676.10800033261</v>
      </c>
      <c r="H5" s="130">
        <v>54320</v>
      </c>
      <c r="I5" s="130">
        <v>7340.2</v>
      </c>
      <c r="J5" s="85">
        <f t="shared" ref="J5:J36" si="1">G5/H5</f>
        <v>12.125848821802883</v>
      </c>
      <c r="K5" s="86">
        <f>+IF(D5="Weekday",J5/$G$102,IF(D5="Saturday",J5/$G$103,IF(D5="Sunday",J5/$G$104, "NA")))</f>
        <v>0.36506075501314833</v>
      </c>
      <c r="L5" s="87">
        <f t="shared" ref="L5:L36" si="2">H5/I5</f>
        <v>7.4003433148960518</v>
      </c>
      <c r="M5" s="132"/>
    </row>
    <row r="6" spans="1:17" x14ac:dyDescent="0.25">
      <c r="A6" s="56" t="s">
        <v>40</v>
      </c>
      <c r="B6">
        <v>225</v>
      </c>
      <c r="C6" t="s">
        <v>37</v>
      </c>
      <c r="D6" t="s">
        <v>7</v>
      </c>
      <c r="E6" s="8">
        <v>186555.37217308587</v>
      </c>
      <c r="F6" s="8">
        <v>8791.2207573118249</v>
      </c>
      <c r="G6" s="8">
        <f t="shared" si="0"/>
        <v>177764.15141577405</v>
      </c>
      <c r="H6" s="12">
        <v>9811</v>
      </c>
      <c r="I6" s="12">
        <v>1770.6320000000001</v>
      </c>
      <c r="J6" s="9">
        <f t="shared" si="1"/>
        <v>18.118861626314754</v>
      </c>
      <c r="K6" s="88">
        <f>+IF(D6="Weekday",J6/$G$102,IF(D6="Saturday",J6/$G$103,IF(D6="Sunday",J6/$G$104, "NA")))</f>
        <v>0.54548637398381949</v>
      </c>
      <c r="L6" s="11">
        <f t="shared" si="2"/>
        <v>5.5409593862530437</v>
      </c>
      <c r="M6" s="114"/>
    </row>
    <row r="7" spans="1:17" x14ac:dyDescent="0.25">
      <c r="A7" s="56" t="s">
        <v>40</v>
      </c>
      <c r="B7">
        <v>227</v>
      </c>
      <c r="C7" t="s">
        <v>37</v>
      </c>
      <c r="D7" t="s">
        <v>7</v>
      </c>
      <c r="E7" s="8">
        <v>203056.63698504012</v>
      </c>
      <c r="F7" s="8">
        <v>8730.6206773905215</v>
      </c>
      <c r="G7" s="8">
        <f t="shared" si="0"/>
        <v>194326.01630764961</v>
      </c>
      <c r="H7" s="12">
        <v>7401</v>
      </c>
      <c r="I7" s="12">
        <v>1629.8</v>
      </c>
      <c r="J7" s="9">
        <f t="shared" si="1"/>
        <v>26.256724268024538</v>
      </c>
      <c r="K7" s="88">
        <f>+IF(D7="Weekday",J7/$G$102,IF(D7="Saturday",J7/$G$103,IF(D7="Sunday",J7/$G$104, "NA")))</f>
        <v>0.79048483337696274</v>
      </c>
      <c r="L7" s="11">
        <f t="shared" si="2"/>
        <v>4.5410479813474049</v>
      </c>
      <c r="M7" s="114"/>
    </row>
    <row r="8" spans="1:17" x14ac:dyDescent="0.25">
      <c r="A8" s="56" t="s">
        <v>40</v>
      </c>
      <c r="B8">
        <v>323</v>
      </c>
      <c r="C8" t="s">
        <v>37</v>
      </c>
      <c r="D8" t="s">
        <v>7</v>
      </c>
      <c r="E8" s="8">
        <v>792924.66952965036</v>
      </c>
      <c r="F8" s="8">
        <v>28870.441697253464</v>
      </c>
      <c r="G8" s="8">
        <f t="shared" si="0"/>
        <v>764054.22783239686</v>
      </c>
      <c r="H8" s="12">
        <v>39242</v>
      </c>
      <c r="I8" s="12">
        <v>6309.05</v>
      </c>
      <c r="J8" s="9">
        <f t="shared" si="1"/>
        <v>19.470318226196341</v>
      </c>
      <c r="K8" s="88">
        <f>+IF(D8="Weekday",J8/$G$102,IF(D8="Saturday",J8/$G$103,IF(D8="Sunday",J8/$G$104, "NA")))</f>
        <v>0.58617332085002005</v>
      </c>
      <c r="L8" s="11">
        <f t="shared" si="2"/>
        <v>6.2199538757816155</v>
      </c>
      <c r="M8" s="114"/>
    </row>
    <row r="9" spans="1:17" ht="45" x14ac:dyDescent="0.25">
      <c r="A9" s="56" t="s">
        <v>11</v>
      </c>
      <c r="B9">
        <v>420</v>
      </c>
      <c r="C9" t="s">
        <v>37</v>
      </c>
      <c r="D9" t="s">
        <v>7</v>
      </c>
      <c r="E9" s="119">
        <v>627134.61201600009</v>
      </c>
      <c r="F9" s="120">
        <v>15287.7047</v>
      </c>
      <c r="G9" s="8">
        <f t="shared" si="0"/>
        <v>611846.90731600008</v>
      </c>
      <c r="H9" s="62">
        <v>7488</v>
      </c>
      <c r="I9" s="63">
        <v>2890.9600000000005</v>
      </c>
      <c r="J9" s="9">
        <f t="shared" si="1"/>
        <v>81.710324160790606</v>
      </c>
      <c r="K9" s="88">
        <f>+IF(D9="Weekday",J9/$G$102,IF(D9="Saturday",J9/$G$103,IF(D9="Sunday",J9/$G$104, "NA")))</f>
        <v>2.4599706848458198</v>
      </c>
      <c r="L9" s="11">
        <f t="shared" si="2"/>
        <v>2.5901430666629768</v>
      </c>
      <c r="M9" s="114" t="s">
        <v>63</v>
      </c>
    </row>
    <row r="10" spans="1:17" ht="60" x14ac:dyDescent="0.25">
      <c r="A10" s="56" t="s">
        <v>11</v>
      </c>
      <c r="B10">
        <v>425</v>
      </c>
      <c r="C10" t="s">
        <v>37</v>
      </c>
      <c r="D10" t="s">
        <v>7</v>
      </c>
      <c r="E10" s="119">
        <v>1016351.63477504</v>
      </c>
      <c r="F10" s="120">
        <v>17284.629999999997</v>
      </c>
      <c r="G10" s="8">
        <f t="shared" si="0"/>
        <v>999067.00477503997</v>
      </c>
      <c r="H10" s="62">
        <v>9452</v>
      </c>
      <c r="I10" s="63">
        <v>5993.0999999999985</v>
      </c>
      <c r="J10" s="9">
        <f t="shared" si="1"/>
        <v>105.69900600666948</v>
      </c>
      <c r="K10" s="88">
        <f>+IF(D10="Weekday",J10/$G$102,IF(D10="Saturday",J10/$G$103,IF(D10="Sunday",J10/$G$104, "NA")))</f>
        <v>3.1821738423419479</v>
      </c>
      <c r="L10" s="11">
        <f t="shared" si="2"/>
        <v>1.5771470524436439</v>
      </c>
      <c r="M10" s="114" t="s">
        <v>65</v>
      </c>
      <c r="N10" s="3"/>
      <c r="O10" s="3"/>
      <c r="P10" s="3"/>
      <c r="Q10" s="3"/>
    </row>
    <row r="11" spans="1:17" ht="30" x14ac:dyDescent="0.25">
      <c r="A11" s="56" t="s">
        <v>11</v>
      </c>
      <c r="B11">
        <v>436</v>
      </c>
      <c r="C11" t="s">
        <v>37</v>
      </c>
      <c r="D11" t="s">
        <v>7</v>
      </c>
      <c r="E11" s="119">
        <v>825161.51301280002</v>
      </c>
      <c r="F11" s="120">
        <v>19093.1931</v>
      </c>
      <c r="G11" s="8">
        <f t="shared" si="0"/>
        <v>806068.31991279998</v>
      </c>
      <c r="H11" s="62">
        <v>7852</v>
      </c>
      <c r="I11" s="63">
        <v>3154.9899999999993</v>
      </c>
      <c r="J11" s="9">
        <f t="shared" si="1"/>
        <v>102.65770757931737</v>
      </c>
      <c r="K11" s="88">
        <f>+IF(D11="Weekday",J11/$G$102,IF(D11="Saturday",J11/$G$103,IF(D11="Sunday",J11/$G$104, "NA")))</f>
        <v>3.0906125243323452</v>
      </c>
      <c r="L11" s="11">
        <f t="shared" si="2"/>
        <v>2.48875590730874</v>
      </c>
      <c r="M11" s="114" t="s">
        <v>66</v>
      </c>
      <c r="N11" s="47"/>
      <c r="O11" s="48"/>
      <c r="P11" s="47"/>
      <c r="Q11" s="49"/>
    </row>
    <row r="12" spans="1:17" x14ac:dyDescent="0.25">
      <c r="A12" s="56" t="s">
        <v>11</v>
      </c>
      <c r="B12">
        <v>440</v>
      </c>
      <c r="C12" t="s">
        <v>37</v>
      </c>
      <c r="D12" t="s">
        <v>7</v>
      </c>
      <c r="E12" s="119">
        <v>903565.25401631999</v>
      </c>
      <c r="F12" s="120">
        <v>32160.788100000002</v>
      </c>
      <c r="G12" s="8">
        <f t="shared" si="0"/>
        <v>871404.46591631998</v>
      </c>
      <c r="H12" s="62">
        <v>17675</v>
      </c>
      <c r="I12" s="63">
        <v>4928.91</v>
      </c>
      <c r="J12" s="9">
        <f t="shared" si="1"/>
        <v>49.301525652974256</v>
      </c>
      <c r="K12" s="88">
        <f>+IF(D12="Weekday",J12/$G$102,IF(D12="Saturday",J12/$G$103,IF(D12="Sunday",J12/$G$104, "NA")))</f>
        <v>1.484271529578489</v>
      </c>
      <c r="L12" s="11">
        <f t="shared" si="2"/>
        <v>3.5859855424424469</v>
      </c>
      <c r="M12" s="114" t="s">
        <v>67</v>
      </c>
    </row>
    <row r="13" spans="1:17" ht="30" x14ac:dyDescent="0.25">
      <c r="A13" s="56" t="s">
        <v>11</v>
      </c>
      <c r="B13">
        <v>442</v>
      </c>
      <c r="C13" t="s">
        <v>37</v>
      </c>
      <c r="D13" t="s">
        <v>7</v>
      </c>
      <c r="E13" s="119">
        <v>1516017.0910598401</v>
      </c>
      <c r="F13" s="120">
        <v>32546.7624</v>
      </c>
      <c r="G13" s="8">
        <f t="shared" si="0"/>
        <v>1483470.3286598402</v>
      </c>
      <c r="H13" s="62">
        <v>27442</v>
      </c>
      <c r="I13" s="63">
        <v>8325.31</v>
      </c>
      <c r="J13" s="9">
        <f t="shared" si="1"/>
        <v>54.058389645792587</v>
      </c>
      <c r="K13" s="88">
        <f>+IF(D13="Weekday",J13/$G$102,IF(D13="Saturday",J13/$G$103,IF(D13="Sunday",J13/$G$104, "NA")))</f>
        <v>1.6274816574823372</v>
      </c>
      <c r="L13" s="11">
        <f t="shared" si="2"/>
        <v>3.2962135944487354</v>
      </c>
      <c r="M13" s="114" t="s">
        <v>69</v>
      </c>
    </row>
    <row r="14" spans="1:17" x14ac:dyDescent="0.25">
      <c r="A14" s="56" t="s">
        <v>11</v>
      </c>
      <c r="B14">
        <v>444</v>
      </c>
      <c r="C14" t="s">
        <v>37</v>
      </c>
      <c r="D14" t="s">
        <v>7</v>
      </c>
      <c r="E14" s="119">
        <v>2306413.09122528</v>
      </c>
      <c r="F14" s="120">
        <v>157904.46090000001</v>
      </c>
      <c r="G14" s="8">
        <f t="shared" si="0"/>
        <v>2148508.6303252801</v>
      </c>
      <c r="H14" s="62">
        <v>109492</v>
      </c>
      <c r="I14" s="63">
        <v>13734.840000000004</v>
      </c>
      <c r="J14" s="9">
        <f t="shared" si="1"/>
        <v>19.622516990513279</v>
      </c>
      <c r="K14" s="88">
        <f>+IF(D14="Weekday",J14/$G$102,IF(D14="Saturday",J14/$G$103,IF(D14="Sunday",J14/$G$104, "NA")))</f>
        <v>0.5907554162257852</v>
      </c>
      <c r="L14" s="11">
        <f t="shared" si="2"/>
        <v>7.9718438656729873</v>
      </c>
      <c r="M14" s="114"/>
    </row>
    <row r="15" spans="1:17" x14ac:dyDescent="0.25">
      <c r="A15" s="56" t="s">
        <v>11</v>
      </c>
      <c r="B15">
        <v>445</v>
      </c>
      <c r="C15" t="s">
        <v>37</v>
      </c>
      <c r="D15" t="s">
        <v>7</v>
      </c>
      <c r="E15" s="119">
        <v>1003674.20323104</v>
      </c>
      <c r="F15" s="120">
        <v>35389.074399999998</v>
      </c>
      <c r="G15" s="8">
        <f t="shared" si="0"/>
        <v>968285.12883104</v>
      </c>
      <c r="H15" s="62">
        <v>25904</v>
      </c>
      <c r="I15" s="63">
        <v>5780.75</v>
      </c>
      <c r="J15" s="9">
        <f t="shared" si="1"/>
        <v>37.379753274823962</v>
      </c>
      <c r="K15" s="88">
        <f>+IF(D15="Weekday",J15/$G$102,IF(D15="Saturday",J15/$G$103,IF(D15="Sunday",J15/$G$104, "NA")))</f>
        <v>1.1253546991429138</v>
      </c>
      <c r="L15" s="11">
        <f t="shared" si="2"/>
        <v>4.4810794447087314</v>
      </c>
      <c r="M15" s="114" t="s">
        <v>70</v>
      </c>
    </row>
    <row r="16" spans="1:17" x14ac:dyDescent="0.25">
      <c r="A16" s="56" t="s">
        <v>11</v>
      </c>
      <c r="B16">
        <v>446</v>
      </c>
      <c r="C16" t="s">
        <v>37</v>
      </c>
      <c r="D16" t="s">
        <v>7</v>
      </c>
      <c r="E16" s="119">
        <v>1264353.5129462399</v>
      </c>
      <c r="F16" s="120">
        <v>46925.385399999999</v>
      </c>
      <c r="G16" s="8">
        <f t="shared" si="0"/>
        <v>1217428.1275462399</v>
      </c>
      <c r="H16" s="62">
        <v>29969</v>
      </c>
      <c r="I16" s="63">
        <v>6834.4400000000005</v>
      </c>
      <c r="J16" s="9">
        <f t="shared" si="1"/>
        <v>40.622914596624511</v>
      </c>
      <c r="K16" s="88">
        <f>+IF(D16="Weekday",J16/$G$102,IF(D16="Saturday",J16/$G$103,IF(D16="Sunday",J16/$G$104, "NA")))</f>
        <v>1.222993300626807</v>
      </c>
      <c r="L16" s="11">
        <f t="shared" si="2"/>
        <v>4.3849971614353187</v>
      </c>
      <c r="M16" s="114" t="s">
        <v>71</v>
      </c>
    </row>
    <row r="17" spans="1:13" ht="30" x14ac:dyDescent="0.25">
      <c r="A17" s="56" t="s">
        <v>11</v>
      </c>
      <c r="B17">
        <v>447</v>
      </c>
      <c r="C17" t="s">
        <v>37</v>
      </c>
      <c r="D17" t="s">
        <v>7</v>
      </c>
      <c r="E17" s="119">
        <v>1118375.74942016</v>
      </c>
      <c r="F17" s="120">
        <v>27869.448100000001</v>
      </c>
      <c r="G17" s="8">
        <f t="shared" si="0"/>
        <v>1090506.30132016</v>
      </c>
      <c r="H17" s="62">
        <v>13284</v>
      </c>
      <c r="I17" s="63">
        <v>6345.71</v>
      </c>
      <c r="J17" s="9">
        <f t="shared" si="1"/>
        <v>82.091711933164717</v>
      </c>
      <c r="K17" s="88">
        <f>+IF(D17="Weekday",J17/$G$102,IF(D17="Saturday",J17/$G$103,IF(D17="Sunday",J17/$G$104, "NA")))</f>
        <v>2.4714527435603677</v>
      </c>
      <c r="L17" s="11">
        <f t="shared" si="2"/>
        <v>2.0933827735588295</v>
      </c>
      <c r="M17" s="114" t="s">
        <v>72</v>
      </c>
    </row>
    <row r="18" spans="1:13" x14ac:dyDescent="0.25">
      <c r="A18" s="56" t="s">
        <v>11</v>
      </c>
      <c r="B18">
        <v>489</v>
      </c>
      <c r="C18" t="s">
        <v>60</v>
      </c>
      <c r="D18" t="s">
        <v>7</v>
      </c>
      <c r="E18" s="119">
        <v>341644.87617792003</v>
      </c>
      <c r="F18" s="120">
        <v>17029.840499999998</v>
      </c>
      <c r="G18" s="8">
        <f t="shared" si="0"/>
        <v>324615.03567792004</v>
      </c>
      <c r="H18" s="62">
        <v>5070</v>
      </c>
      <c r="I18" s="63">
        <v>1265</v>
      </c>
      <c r="J18" s="9">
        <f t="shared" si="1"/>
        <v>64.026634256000008</v>
      </c>
      <c r="K18" s="88">
        <f>+IF(D18="Weekday",J18/$G$102,IF(D18="Saturday",J18/$G$103,IF(D18="Sunday",J18/$G$104, "NA")))</f>
        <v>1.9275855889295888</v>
      </c>
      <c r="L18" s="11">
        <f t="shared" si="2"/>
        <v>4.0079051383399209</v>
      </c>
      <c r="M18" s="114"/>
    </row>
    <row r="19" spans="1:13" ht="30" x14ac:dyDescent="0.25">
      <c r="A19" s="56" t="s">
        <v>11</v>
      </c>
      <c r="B19">
        <v>497</v>
      </c>
      <c r="C19" t="s">
        <v>37</v>
      </c>
      <c r="D19" t="s">
        <v>7</v>
      </c>
      <c r="E19" s="119">
        <v>668697.31537535996</v>
      </c>
      <c r="F19" s="120">
        <v>20427.965899999999</v>
      </c>
      <c r="G19" s="8">
        <f t="shared" si="0"/>
        <v>648269.34947536001</v>
      </c>
      <c r="H19" s="62">
        <v>13101</v>
      </c>
      <c r="I19" s="63">
        <v>3284.41</v>
      </c>
      <c r="J19" s="9">
        <f t="shared" si="1"/>
        <v>49.482432598684071</v>
      </c>
      <c r="K19" s="88">
        <f>+IF(D19="Weekday",J19/$G$102,IF(D19="Saturday",J19/$G$103,IF(D19="Sunday",J19/$G$104, "NA")))</f>
        <v>1.4897179133458009</v>
      </c>
      <c r="L19" s="11">
        <f t="shared" si="2"/>
        <v>3.9888442673113285</v>
      </c>
      <c r="M19" s="114" t="s">
        <v>78</v>
      </c>
    </row>
    <row r="20" spans="1:13" ht="30" x14ac:dyDescent="0.25">
      <c r="A20" s="56" t="s">
        <v>11</v>
      </c>
      <c r="B20">
        <v>499</v>
      </c>
      <c r="C20" t="s">
        <v>37</v>
      </c>
      <c r="D20" t="s">
        <v>7</v>
      </c>
      <c r="E20" s="119">
        <v>656836.53927903995</v>
      </c>
      <c r="F20" s="120">
        <v>22512.827700000002</v>
      </c>
      <c r="G20" s="8">
        <f t="shared" si="0"/>
        <v>634323.71157903993</v>
      </c>
      <c r="H20" s="62">
        <v>12294</v>
      </c>
      <c r="I20" s="63">
        <v>3229.5999999999995</v>
      </c>
      <c r="J20" s="9">
        <f t="shared" si="1"/>
        <v>51.596202340901243</v>
      </c>
      <c r="K20" s="88">
        <f>+IF(D20="Weekday",J20/$G$102,IF(D20="Saturday",J20/$G$103,IF(D20="Sunday",J20/$G$104, "NA")))</f>
        <v>1.5533550565559551</v>
      </c>
      <c r="L20" s="11">
        <f t="shared" si="2"/>
        <v>3.806663363884073</v>
      </c>
      <c r="M20" s="114" t="s">
        <v>79</v>
      </c>
    </row>
    <row r="21" spans="1:13" x14ac:dyDescent="0.25">
      <c r="A21" s="56" t="s">
        <v>34</v>
      </c>
      <c r="B21" s="13">
        <v>501</v>
      </c>
      <c r="C21" t="s">
        <v>37</v>
      </c>
      <c r="D21" s="13" t="s">
        <v>7</v>
      </c>
      <c r="E21" s="8">
        <v>34963.620130523581</v>
      </c>
      <c r="F21" s="8">
        <v>520.07476596031563</v>
      </c>
      <c r="G21" s="8">
        <f t="shared" si="0"/>
        <v>34443.545364563266</v>
      </c>
      <c r="H21" s="15">
        <v>306.96203786690387</v>
      </c>
      <c r="I21" s="16">
        <v>73.259999999999991</v>
      </c>
      <c r="J21" s="9">
        <f t="shared" si="1"/>
        <v>112.20783391950798</v>
      </c>
      <c r="K21" s="88">
        <f>+IF(D21="Weekday",J21/$G$102,IF(D21="Saturday",J21/$G$103,IF(D21="Sunday",J21/$G$104, "NA")))</f>
        <v>3.3781285888533095</v>
      </c>
      <c r="L21" s="11">
        <f t="shared" si="2"/>
        <v>4.1900360069192448</v>
      </c>
      <c r="M21" s="114"/>
    </row>
    <row r="22" spans="1:13" x14ac:dyDescent="0.25">
      <c r="A22" s="56" t="s">
        <v>34</v>
      </c>
      <c r="B22" s="13">
        <v>515</v>
      </c>
      <c r="C22" t="s">
        <v>37</v>
      </c>
      <c r="D22" s="13" t="s">
        <v>7</v>
      </c>
      <c r="E22" s="8">
        <v>3068526.0668735486</v>
      </c>
      <c r="F22" s="8">
        <v>244190.04209740239</v>
      </c>
      <c r="G22" s="8">
        <f t="shared" si="0"/>
        <v>2824336.0247761463</v>
      </c>
      <c r="H22" s="15">
        <v>227230.751010687</v>
      </c>
      <c r="I22" s="16">
        <v>10805.919999999967</v>
      </c>
      <c r="J22" s="9">
        <f t="shared" si="1"/>
        <v>12.429374159148528</v>
      </c>
      <c r="K22" s="88">
        <f>+IF(D22="Weekday",J22/$G$102,IF(D22="Saturday",J22/$G$103,IF(D22="Sunday",J22/$G$104, "NA")))</f>
        <v>0.37419868757732383</v>
      </c>
      <c r="L22" s="11">
        <f t="shared" si="2"/>
        <v>21.028357697510966</v>
      </c>
      <c r="M22" s="114"/>
    </row>
    <row r="23" spans="1:13" x14ac:dyDescent="0.25">
      <c r="A23" s="56" t="s">
        <v>40</v>
      </c>
      <c r="B23">
        <v>534</v>
      </c>
      <c r="C23" t="s">
        <v>37</v>
      </c>
      <c r="D23" t="s">
        <v>7</v>
      </c>
      <c r="E23" s="8">
        <v>344105.99761460902</v>
      </c>
      <c r="F23" s="8">
        <v>20641.330832698295</v>
      </c>
      <c r="G23" s="8">
        <f t="shared" si="0"/>
        <v>323464.6667819107</v>
      </c>
      <c r="H23" s="12">
        <v>19828</v>
      </c>
      <c r="I23" s="12">
        <v>3235.4000000000005</v>
      </c>
      <c r="J23" s="9">
        <f t="shared" si="1"/>
        <v>16.31352969446796</v>
      </c>
      <c r="K23" s="88">
        <f>+IF(D23="Weekday",J23/$G$102,IF(D23="Saturday",J23/$G$103,IF(D23="Sunday",J23/$G$104, "NA")))</f>
        <v>0.49113505823062281</v>
      </c>
      <c r="L23" s="11">
        <f t="shared" si="2"/>
        <v>6.1284539778698139</v>
      </c>
      <c r="M23" s="114"/>
    </row>
    <row r="24" spans="1:13" x14ac:dyDescent="0.25">
      <c r="A24" s="56" t="s">
        <v>40</v>
      </c>
      <c r="B24">
        <v>537</v>
      </c>
      <c r="C24" t="s">
        <v>37</v>
      </c>
      <c r="D24" t="s">
        <v>7</v>
      </c>
      <c r="E24" s="8">
        <v>213435.59972222897</v>
      </c>
      <c r="F24" s="8">
        <v>15514.664935472798</v>
      </c>
      <c r="G24" s="8">
        <f t="shared" si="0"/>
        <v>197920.93478675617</v>
      </c>
      <c r="H24" s="12">
        <v>11338</v>
      </c>
      <c r="I24" s="12">
        <v>1820.6010000000001</v>
      </c>
      <c r="J24" s="9">
        <f t="shared" si="1"/>
        <v>17.456423953674033</v>
      </c>
      <c r="K24" s="88">
        <f>+IF(D24="Weekday",J24/$G$102,IF(D24="Saturday",J24/$G$103,IF(D24="Sunday",J24/$G$104, "NA")))</f>
        <v>0.52554302812183318</v>
      </c>
      <c r="L24" s="11">
        <f t="shared" si="2"/>
        <v>6.2276138483940189</v>
      </c>
      <c r="M24" s="114"/>
    </row>
    <row r="25" spans="1:13" x14ac:dyDescent="0.25">
      <c r="A25" s="56" t="s">
        <v>40</v>
      </c>
      <c r="B25">
        <v>538</v>
      </c>
      <c r="C25" t="s">
        <v>37</v>
      </c>
      <c r="D25" t="s">
        <v>7</v>
      </c>
      <c r="E25" s="8">
        <v>774887.98029815918</v>
      </c>
      <c r="F25" s="8">
        <v>72156.292228770821</v>
      </c>
      <c r="G25" s="8">
        <f t="shared" si="0"/>
        <v>702731.68806938839</v>
      </c>
      <c r="H25" s="12">
        <v>64753</v>
      </c>
      <c r="I25" s="12">
        <v>7719.8</v>
      </c>
      <c r="J25" s="9">
        <f t="shared" si="1"/>
        <v>10.852496225184755</v>
      </c>
      <c r="K25" s="88">
        <f>+IF(D25="Weekday",J25/$G$102,IF(D25="Saturday",J25/$G$103,IF(D25="Sunday",J25/$G$104, "NA")))</f>
        <v>0.32672520694961471</v>
      </c>
      <c r="L25" s="11">
        <f t="shared" si="2"/>
        <v>8.387911603927563</v>
      </c>
      <c r="M25" s="114"/>
    </row>
    <row r="26" spans="1:13" x14ac:dyDescent="0.25">
      <c r="A26" s="56" t="s">
        <v>40</v>
      </c>
      <c r="B26">
        <v>539</v>
      </c>
      <c r="C26" t="s">
        <v>37</v>
      </c>
      <c r="D26" t="s">
        <v>7</v>
      </c>
      <c r="E26" s="8">
        <v>648938.19168844493</v>
      </c>
      <c r="F26" s="8">
        <v>96521.128966080985</v>
      </c>
      <c r="G26" s="8">
        <f t="shared" si="0"/>
        <v>552417.06272236397</v>
      </c>
      <c r="H26" s="12">
        <v>80903</v>
      </c>
      <c r="I26" s="12">
        <v>6035.35</v>
      </c>
      <c r="J26" s="9">
        <f t="shared" si="1"/>
        <v>6.8281406464823799</v>
      </c>
      <c r="K26" s="88">
        <f>+IF(D26="Weekday",J26/$G$102,IF(D26="Saturday",J26/$G$103,IF(D26="Sunday",J26/$G$104, "NA")))</f>
        <v>0.2055679743638936</v>
      </c>
      <c r="L26" s="11">
        <f t="shared" si="2"/>
        <v>13.404856387781983</v>
      </c>
      <c r="M26" s="114"/>
    </row>
    <row r="27" spans="1:13" x14ac:dyDescent="0.25">
      <c r="A27" s="56" t="s">
        <v>40</v>
      </c>
      <c r="B27">
        <v>540</v>
      </c>
      <c r="C27" t="s">
        <v>37</v>
      </c>
      <c r="D27" t="s">
        <v>7</v>
      </c>
      <c r="E27" s="8">
        <v>1325665.1861065528</v>
      </c>
      <c r="F27" s="8">
        <v>107783.45101036216</v>
      </c>
      <c r="G27" s="8">
        <f t="shared" si="0"/>
        <v>1217881.7350961906</v>
      </c>
      <c r="H27" s="12">
        <v>92595</v>
      </c>
      <c r="I27" s="12">
        <v>10651.5</v>
      </c>
      <c r="J27" s="9">
        <f t="shared" si="1"/>
        <v>13.152780766738923</v>
      </c>
      <c r="K27" s="88">
        <f>+IF(D27="Weekday",J27/$G$102,IF(D27="Saturday",J27/$G$103,IF(D27="Sunday",J27/$G$104, "NA")))</f>
        <v>0.39597756394543487</v>
      </c>
      <c r="L27" s="11">
        <f t="shared" si="2"/>
        <v>8.6931418110125342</v>
      </c>
      <c r="M27" s="114"/>
    </row>
    <row r="28" spans="1:13" x14ac:dyDescent="0.25">
      <c r="A28" s="56" t="s">
        <v>40</v>
      </c>
      <c r="B28">
        <v>542</v>
      </c>
      <c r="C28" t="s">
        <v>37</v>
      </c>
      <c r="D28" t="s">
        <v>7</v>
      </c>
      <c r="E28" s="8">
        <v>534149.44282909401</v>
      </c>
      <c r="F28" s="8">
        <v>21946.14597650522</v>
      </c>
      <c r="G28" s="8">
        <f t="shared" si="0"/>
        <v>512203.29685258877</v>
      </c>
      <c r="H28" s="12">
        <v>20520</v>
      </c>
      <c r="I28" s="12">
        <v>4392.8999999999996</v>
      </c>
      <c r="J28" s="9">
        <f t="shared" si="1"/>
        <v>24.961174310555009</v>
      </c>
      <c r="K28" s="88">
        <f>+IF(D28="Weekday",J28/$G$102,IF(D28="Saturday",J28/$G$103,IF(D28="Sunday",J28/$G$104, "NA")))</f>
        <v>0.75148101165846315</v>
      </c>
      <c r="L28" s="11">
        <f t="shared" si="2"/>
        <v>4.671173939766442</v>
      </c>
      <c r="M28" s="114"/>
    </row>
    <row r="29" spans="1:13" x14ac:dyDescent="0.25">
      <c r="A29" s="56" t="s">
        <v>40</v>
      </c>
      <c r="B29">
        <v>546</v>
      </c>
      <c r="C29" t="s">
        <v>37</v>
      </c>
      <c r="D29" t="s">
        <v>7</v>
      </c>
      <c r="E29" s="8">
        <v>575431.89608582132</v>
      </c>
      <c r="F29" s="8">
        <v>37675.646700804049</v>
      </c>
      <c r="G29" s="8">
        <f t="shared" si="0"/>
        <v>537756.24938501732</v>
      </c>
      <c r="H29" s="12">
        <v>33958</v>
      </c>
      <c r="I29" s="12">
        <v>4720.4799999999996</v>
      </c>
      <c r="J29" s="9">
        <f t="shared" si="1"/>
        <v>15.835922297691775</v>
      </c>
      <c r="K29" s="88">
        <f>+IF(D29="Weekday",J29/$G$102,IF(D29="Saturday",J29/$G$103,IF(D29="Sunday",J29/$G$104, "NA")))</f>
        <v>0.47675621189753331</v>
      </c>
      <c r="L29" s="11">
        <f t="shared" si="2"/>
        <v>7.1937599566145822</v>
      </c>
      <c r="M29" s="114"/>
    </row>
    <row r="30" spans="1:13" x14ac:dyDescent="0.25">
      <c r="A30" s="56" t="s">
        <v>40</v>
      </c>
      <c r="B30">
        <v>547</v>
      </c>
      <c r="C30" t="s">
        <v>37</v>
      </c>
      <c r="D30" t="s">
        <v>7</v>
      </c>
      <c r="E30" s="8">
        <v>203668.53928993532</v>
      </c>
      <c r="F30" s="8">
        <v>5744.115145697524</v>
      </c>
      <c r="G30" s="8">
        <f t="shared" si="0"/>
        <v>197924.4241442378</v>
      </c>
      <c r="H30" s="12">
        <v>5283</v>
      </c>
      <c r="I30" s="12">
        <v>1812.2999999999997</v>
      </c>
      <c r="J30" s="9">
        <f t="shared" si="1"/>
        <v>37.464399800158581</v>
      </c>
      <c r="K30" s="88">
        <f>+IF(D30="Weekday",J30/$G$102,IF(D30="Saturday",J30/$G$103,IF(D30="Sunday",J30/$G$104, "NA")))</f>
        <v>1.1279030670882846</v>
      </c>
      <c r="L30" s="11">
        <f t="shared" si="2"/>
        <v>2.9150802847210731</v>
      </c>
      <c r="M30" s="114"/>
    </row>
    <row r="31" spans="1:13" x14ac:dyDescent="0.25">
      <c r="A31" s="56" t="s">
        <v>34</v>
      </c>
      <c r="B31" s="13">
        <v>612</v>
      </c>
      <c r="C31" t="s">
        <v>37</v>
      </c>
      <c r="D31" s="13" t="s">
        <v>7</v>
      </c>
      <c r="E31" s="8">
        <v>3386488.7869141125</v>
      </c>
      <c r="F31" s="8">
        <v>232226.38876904137</v>
      </c>
      <c r="G31" s="8">
        <f t="shared" si="0"/>
        <v>3154262.3981450712</v>
      </c>
      <c r="H31" s="15">
        <v>179688.42853626673</v>
      </c>
      <c r="I31" s="16">
        <v>12605.759999999978</v>
      </c>
      <c r="J31" s="9">
        <f t="shared" si="1"/>
        <v>17.554065244153676</v>
      </c>
      <c r="K31" s="88">
        <f>+IF(D31="Weekday",J31/$G$102,IF(D31="Saturday",J31/$G$103,IF(D31="Sunday",J31/$G$104, "NA")))</f>
        <v>0.5284826164134887</v>
      </c>
      <c r="L31" s="11">
        <f t="shared" si="2"/>
        <v>14.254470062595752</v>
      </c>
      <c r="M31" s="114"/>
    </row>
    <row r="32" spans="1:13" x14ac:dyDescent="0.25">
      <c r="A32" s="56" t="s">
        <v>40</v>
      </c>
      <c r="B32">
        <v>615</v>
      </c>
      <c r="C32" t="s">
        <v>37</v>
      </c>
      <c r="D32" t="s">
        <v>7</v>
      </c>
      <c r="E32" s="8">
        <v>412129.1906500684</v>
      </c>
      <c r="F32" s="8">
        <v>22874.010630166391</v>
      </c>
      <c r="G32" s="8">
        <f t="shared" si="0"/>
        <v>389255.18001990201</v>
      </c>
      <c r="H32" s="12">
        <v>18652</v>
      </c>
      <c r="I32" s="12">
        <v>4917.018</v>
      </c>
      <c r="J32" s="9">
        <f t="shared" si="1"/>
        <v>20.869353421611731</v>
      </c>
      <c r="K32" s="88">
        <f>+IF(D32="Weekday",J32/$G$102,IF(D32="Saturday",J32/$G$103,IF(D32="Sunday",J32/$G$104, "NA")))</f>
        <v>0.62829266871868117</v>
      </c>
      <c r="L32" s="11">
        <f t="shared" si="2"/>
        <v>3.7933560544216025</v>
      </c>
      <c r="M32" s="114"/>
    </row>
    <row r="33" spans="1:13" x14ac:dyDescent="0.25">
      <c r="A33" s="56" t="s">
        <v>34</v>
      </c>
      <c r="B33" s="13">
        <v>645</v>
      </c>
      <c r="C33" t="s">
        <v>37</v>
      </c>
      <c r="D33" s="13" t="s">
        <v>7</v>
      </c>
      <c r="E33" s="8">
        <v>2951484.9086527415</v>
      </c>
      <c r="F33" s="8">
        <v>271088.91717625444</v>
      </c>
      <c r="G33" s="8">
        <f t="shared" si="0"/>
        <v>2680395.9914764869</v>
      </c>
      <c r="H33" s="15">
        <v>132576.06316283124</v>
      </c>
      <c r="I33" s="16">
        <v>12267.430000000044</v>
      </c>
      <c r="J33" s="9">
        <f t="shared" si="1"/>
        <v>20.217797447978207</v>
      </c>
      <c r="K33" s="88">
        <f>+IF(D33="Weekday",J33/$G$102,IF(D33="Saturday",J33/$G$103,IF(D33="Sunday",J33/$G$104, "NA")))</f>
        <v>0.60867692724248013</v>
      </c>
      <c r="L33" s="11">
        <f t="shared" si="2"/>
        <v>10.807158725407911</v>
      </c>
      <c r="M33" s="114"/>
    </row>
    <row r="34" spans="1:13" x14ac:dyDescent="0.25">
      <c r="A34" s="56" t="s">
        <v>40</v>
      </c>
      <c r="B34">
        <v>705</v>
      </c>
      <c r="C34" t="s">
        <v>37</v>
      </c>
      <c r="D34" t="s">
        <v>7</v>
      </c>
      <c r="E34" s="8">
        <v>675067.33401617326</v>
      </c>
      <c r="F34" s="8">
        <v>27041.325098641631</v>
      </c>
      <c r="G34" s="8">
        <f t="shared" si="0"/>
        <v>648026.00891753158</v>
      </c>
      <c r="H34" s="12">
        <v>27253</v>
      </c>
      <c r="I34" s="12">
        <v>5278.68</v>
      </c>
      <c r="J34" s="9">
        <f t="shared" si="1"/>
        <v>23.778153191117735</v>
      </c>
      <c r="K34" s="88">
        <f>+IF(D34="Weekday",J34/$G$102,IF(D34="Saturday",J34/$G$103,IF(D34="Sunday",J34/$G$104, "NA")))</f>
        <v>0.71586498267732168</v>
      </c>
      <c r="L34" s="11">
        <f t="shared" si="2"/>
        <v>5.1628437412383397</v>
      </c>
      <c r="M34" s="114"/>
    </row>
    <row r="35" spans="1:13" x14ac:dyDescent="0.25">
      <c r="A35" s="56" t="s">
        <v>40</v>
      </c>
      <c r="B35">
        <v>716</v>
      </c>
      <c r="C35" t="s">
        <v>37</v>
      </c>
      <c r="D35" t="s">
        <v>7</v>
      </c>
      <c r="E35" s="8">
        <v>282875.24840598111</v>
      </c>
      <c r="F35" s="8">
        <v>25498.132077494687</v>
      </c>
      <c r="G35" s="8">
        <f t="shared" si="0"/>
        <v>257377.11632848642</v>
      </c>
      <c r="H35" s="12">
        <v>28201</v>
      </c>
      <c r="I35" s="12">
        <v>3040.38</v>
      </c>
      <c r="J35" s="9">
        <f t="shared" si="1"/>
        <v>9.1265244611356486</v>
      </c>
      <c r="K35" s="88">
        <f>+IF(D35="Weekday",J35/$G$102,IF(D35="Saturday",J35/$G$103,IF(D35="Sunday",J35/$G$104, "NA")))</f>
        <v>0.27476310808341259</v>
      </c>
      <c r="L35" s="11">
        <f t="shared" si="2"/>
        <v>9.275485301179458</v>
      </c>
      <c r="M35" s="114"/>
    </row>
    <row r="36" spans="1:13" x14ac:dyDescent="0.25">
      <c r="A36" s="56" t="s">
        <v>40</v>
      </c>
      <c r="B36">
        <v>717</v>
      </c>
      <c r="C36" t="s">
        <v>37</v>
      </c>
      <c r="D36" t="s">
        <v>7</v>
      </c>
      <c r="E36" s="8">
        <v>300439.39781681006</v>
      </c>
      <c r="F36" s="8">
        <v>27249.119959771488</v>
      </c>
      <c r="G36" s="8">
        <f t="shared" si="0"/>
        <v>273190.27785703854</v>
      </c>
      <c r="H36" s="12">
        <v>33990</v>
      </c>
      <c r="I36" s="12">
        <v>3479.8</v>
      </c>
      <c r="J36" s="9">
        <f t="shared" si="1"/>
        <v>8.037372105237969</v>
      </c>
      <c r="K36" s="88">
        <f>+IF(D36="Weekday",J36/$G$102,IF(D36="Saturday",J36/$G$103,IF(D36="Sunday",J36/$G$104, "NA")))</f>
        <v>0.24197309171330583</v>
      </c>
      <c r="L36" s="11">
        <f t="shared" si="2"/>
        <v>9.7678027472843265</v>
      </c>
      <c r="M36" s="114"/>
    </row>
    <row r="37" spans="1:13" x14ac:dyDescent="0.25">
      <c r="A37" s="56" t="s">
        <v>34</v>
      </c>
      <c r="B37" s="13">
        <v>721</v>
      </c>
      <c r="C37" t="s">
        <v>37</v>
      </c>
      <c r="D37" s="13" t="s">
        <v>7</v>
      </c>
      <c r="E37" s="8">
        <v>1651881.8703945202</v>
      </c>
      <c r="F37" s="8">
        <v>113176.5809125526</v>
      </c>
      <c r="G37" s="8">
        <f t="shared" ref="G37:G68" si="3">E37-F37</f>
        <v>1538705.2894819677</v>
      </c>
      <c r="H37" s="15">
        <v>100457.53185136714</v>
      </c>
      <c r="I37" s="16">
        <v>6538.8500000000395</v>
      </c>
      <c r="J37" s="9">
        <f t="shared" ref="J37:J68" si="4">G37/H37</f>
        <v>15.316972865295687</v>
      </c>
      <c r="K37" s="88">
        <f>+IF(D37="Weekday",J37/$G$102,IF(D37="Saturday",J37/$G$103,IF(D37="Sunday",J37/$G$104, "NA")))</f>
        <v>0.46113272240923264</v>
      </c>
      <c r="L37" s="11">
        <f t="shared" ref="L37:L68" si="5">H37/I37</f>
        <v>15.363180353023319</v>
      </c>
      <c r="M37" s="114"/>
    </row>
    <row r="38" spans="1:13" x14ac:dyDescent="0.25">
      <c r="A38" s="56" t="s">
        <v>34</v>
      </c>
      <c r="B38" s="13">
        <v>722</v>
      </c>
      <c r="C38" t="s">
        <v>37</v>
      </c>
      <c r="D38" s="13" t="s">
        <v>7</v>
      </c>
      <c r="E38" s="8">
        <v>1555180.0822076064</v>
      </c>
      <c r="F38" s="8">
        <v>73689.666491717871</v>
      </c>
      <c r="G38" s="8">
        <f t="shared" si="3"/>
        <v>1481490.4157158886</v>
      </c>
      <c r="H38" s="15">
        <v>103205.47283418935</v>
      </c>
      <c r="I38" s="16">
        <v>5998.7199999999757</v>
      </c>
      <c r="J38" s="9">
        <f t="shared" si="4"/>
        <v>14.354766031604367</v>
      </c>
      <c r="K38" s="88">
        <f>+IF(D38="Weekday",J38/$G$102,IF(D38="Saturday",J38/$G$103,IF(D38="Sunday",J38/$G$104, "NA")))</f>
        <v>0.43216452741124006</v>
      </c>
      <c r="L38" s="11">
        <f t="shared" si="5"/>
        <v>17.204582449954284</v>
      </c>
      <c r="M38" s="114"/>
    </row>
    <row r="39" spans="1:13" x14ac:dyDescent="0.25">
      <c r="A39" s="56" t="s">
        <v>34</v>
      </c>
      <c r="B39" s="13">
        <v>723</v>
      </c>
      <c r="C39" t="s">
        <v>37</v>
      </c>
      <c r="D39" s="13" t="s">
        <v>7</v>
      </c>
      <c r="E39" s="8">
        <v>1350614.7006627023</v>
      </c>
      <c r="F39" s="8">
        <v>59910.772894029171</v>
      </c>
      <c r="G39" s="8">
        <f t="shared" si="3"/>
        <v>1290703.927768673</v>
      </c>
      <c r="H39" s="15">
        <v>68595.503064695935</v>
      </c>
      <c r="I39" s="16">
        <v>5249.3600000000079</v>
      </c>
      <c r="J39" s="9">
        <f t="shared" si="4"/>
        <v>18.816159516336572</v>
      </c>
      <c r="K39" s="88">
        <f>+IF(D39="Weekday",J39/$G$102,IF(D39="Saturday",J39/$G$103,IF(D39="Sunday",J39/$G$104, "NA")))</f>
        <v>0.56647922140764151</v>
      </c>
      <c r="L39" s="11">
        <f t="shared" si="5"/>
        <v>13.067403086223051</v>
      </c>
      <c r="M39" s="114"/>
    </row>
    <row r="40" spans="1:13" x14ac:dyDescent="0.25">
      <c r="A40" s="56" t="s">
        <v>34</v>
      </c>
      <c r="B40" s="13">
        <v>724</v>
      </c>
      <c r="C40" t="s">
        <v>37</v>
      </c>
      <c r="D40" s="13" t="s">
        <v>7</v>
      </c>
      <c r="E40" s="8">
        <v>2244852.3166720485</v>
      </c>
      <c r="F40" s="8">
        <v>156620.66391618375</v>
      </c>
      <c r="G40" s="8">
        <f t="shared" si="3"/>
        <v>2088231.6527558649</v>
      </c>
      <c r="H40" s="15">
        <v>198844.12118698837</v>
      </c>
      <c r="I40" s="16">
        <v>7982.4400000000005</v>
      </c>
      <c r="J40" s="9">
        <f t="shared" si="4"/>
        <v>10.501852608416522</v>
      </c>
      <c r="K40" s="88">
        <f>+IF(D40="Weekday",J40/$G$102,IF(D40="Saturday",J40/$G$103,IF(D40="Sunday",J40/$G$104, "NA")))</f>
        <v>0.31616873165793941</v>
      </c>
      <c r="L40" s="11">
        <f t="shared" si="5"/>
        <v>24.910193022056959</v>
      </c>
      <c r="M40" s="114"/>
    </row>
    <row r="41" spans="1:13" x14ac:dyDescent="0.25">
      <c r="A41" s="56" t="s">
        <v>40</v>
      </c>
      <c r="B41">
        <v>801</v>
      </c>
      <c r="C41" t="s">
        <v>37</v>
      </c>
      <c r="D41" t="s">
        <v>7</v>
      </c>
      <c r="E41" s="8">
        <v>456803.76014055079</v>
      </c>
      <c r="F41" s="8">
        <v>33380.191105870712</v>
      </c>
      <c r="G41" s="8">
        <f t="shared" si="3"/>
        <v>423423.56903468008</v>
      </c>
      <c r="H41" s="12">
        <v>32102</v>
      </c>
      <c r="I41" s="12">
        <v>4279.9000000000005</v>
      </c>
      <c r="J41" s="9">
        <f t="shared" si="4"/>
        <v>13.189943587149713</v>
      </c>
      <c r="K41" s="88">
        <f>+IF(D41="Weekday",J41/$G$102,IF(D41="Saturday",J41/$G$103,IF(D41="Sunday",J41/$G$104, "NA")))</f>
        <v>0.39709638766466082</v>
      </c>
      <c r="L41" s="11">
        <f t="shared" si="5"/>
        <v>7.5006425383770639</v>
      </c>
      <c r="M41" s="114"/>
    </row>
    <row r="42" spans="1:13" x14ac:dyDescent="0.25">
      <c r="A42" s="56" t="s">
        <v>40</v>
      </c>
      <c r="B42">
        <v>804</v>
      </c>
      <c r="C42" t="s">
        <v>37</v>
      </c>
      <c r="D42" t="s">
        <v>7</v>
      </c>
      <c r="E42" s="8">
        <v>312193.50973446469</v>
      </c>
      <c r="F42" s="8">
        <v>15040.292779210991</v>
      </c>
      <c r="G42" s="8">
        <f t="shared" si="3"/>
        <v>297153.21695525368</v>
      </c>
      <c r="H42" s="12">
        <v>12121</v>
      </c>
      <c r="I42" s="12">
        <v>2739.4849999999997</v>
      </c>
      <c r="J42" s="9">
        <f t="shared" si="4"/>
        <v>24.515569421273302</v>
      </c>
      <c r="K42" s="88">
        <f>+IF(D42="Weekday",J42/$G$102,IF(D42="Saturday",J42/$G$103,IF(D42="Sunday",J42/$G$104, "NA")))</f>
        <v>0.73806563268505576</v>
      </c>
      <c r="L42" s="11">
        <f t="shared" si="5"/>
        <v>4.424554250160158</v>
      </c>
      <c r="M42" s="114"/>
    </row>
    <row r="43" spans="1:13" x14ac:dyDescent="0.25">
      <c r="A43" s="56" t="s">
        <v>40</v>
      </c>
      <c r="B43">
        <v>805</v>
      </c>
      <c r="C43" t="s">
        <v>37</v>
      </c>
      <c r="D43" t="s">
        <v>7</v>
      </c>
      <c r="E43" s="8">
        <v>522035.45207869163</v>
      </c>
      <c r="F43" s="8">
        <v>31769.283153187134</v>
      </c>
      <c r="G43" s="8">
        <f t="shared" si="3"/>
        <v>490266.16892550449</v>
      </c>
      <c r="H43" s="12">
        <v>27137</v>
      </c>
      <c r="I43" s="12">
        <v>5425.299</v>
      </c>
      <c r="J43" s="9">
        <f t="shared" si="4"/>
        <v>18.066336327726148</v>
      </c>
      <c r="K43" s="88">
        <f>+IF(D43="Weekday",J43/$G$102,IF(D43="Saturday",J43/$G$103,IF(D43="Sunday",J43/$G$104, "NA")))</f>
        <v>0.54390504755943181</v>
      </c>
      <c r="L43" s="11">
        <f t="shared" si="5"/>
        <v>5.0019362988104437</v>
      </c>
      <c r="M43" s="114"/>
    </row>
    <row r="44" spans="1:13" x14ac:dyDescent="0.25">
      <c r="A44" s="56" t="s">
        <v>40</v>
      </c>
      <c r="B44">
        <v>831</v>
      </c>
      <c r="C44" t="s">
        <v>37</v>
      </c>
      <c r="D44" t="s">
        <v>7</v>
      </c>
      <c r="E44" s="8">
        <v>180515.27892457525</v>
      </c>
      <c r="F44" s="8">
        <v>6520.0560059436266</v>
      </c>
      <c r="G44" s="8">
        <f t="shared" si="3"/>
        <v>173995.22291863163</v>
      </c>
      <c r="H44" s="12">
        <v>5342</v>
      </c>
      <c r="I44" s="12">
        <v>1763.46</v>
      </c>
      <c r="J44" s="9">
        <f t="shared" si="4"/>
        <v>32.571176136022395</v>
      </c>
      <c r="K44" s="88">
        <f>+IF(D44="Weekday",J44/$G$102,IF(D44="Saturday",J44/$G$103,IF(D44="Sunday",J44/$G$104, "NA")))</f>
        <v>0.98058769547769187</v>
      </c>
      <c r="L44" s="11">
        <f t="shared" si="5"/>
        <v>3.0292719993648847</v>
      </c>
      <c r="M44" s="114"/>
    </row>
    <row r="45" spans="1:13" x14ac:dyDescent="0.25">
      <c r="A45" s="56" t="s">
        <v>40</v>
      </c>
      <c r="B45">
        <v>219</v>
      </c>
      <c r="C45" t="s">
        <v>37</v>
      </c>
      <c r="D45" t="s">
        <v>15</v>
      </c>
      <c r="E45" s="8">
        <v>124417.05657495908</v>
      </c>
      <c r="F45" s="8">
        <v>7902.727728917499</v>
      </c>
      <c r="G45" s="8">
        <f t="shared" si="3"/>
        <v>116514.32884604158</v>
      </c>
      <c r="H45" s="12">
        <v>7005</v>
      </c>
      <c r="I45" s="12">
        <v>1250.4000000000001</v>
      </c>
      <c r="J45" s="9">
        <f t="shared" si="4"/>
        <v>16.633023389870317</v>
      </c>
      <c r="K45" s="88">
        <f>+IF(D45="Weekday",J45/$G$102,IF(D45="Saturday",J45/$G$103,IF(D45="Sunday",J45/$G$104, "NA")))</f>
        <v>0.29225581603399853</v>
      </c>
      <c r="L45" s="11">
        <f t="shared" si="5"/>
        <v>5.6022072936660265</v>
      </c>
      <c r="M45" s="114"/>
    </row>
    <row r="46" spans="1:13" x14ac:dyDescent="0.25">
      <c r="A46" s="56" t="s">
        <v>40</v>
      </c>
      <c r="B46">
        <v>225</v>
      </c>
      <c r="C46" t="s">
        <v>37</v>
      </c>
      <c r="D46" t="s">
        <v>15</v>
      </c>
      <c r="E46" s="8">
        <v>33411.319703209498</v>
      </c>
      <c r="F46" s="8">
        <v>974.89140039319352</v>
      </c>
      <c r="G46" s="8">
        <f t="shared" si="3"/>
        <v>32436.428302816304</v>
      </c>
      <c r="H46" s="12">
        <v>1092</v>
      </c>
      <c r="I46" s="12">
        <v>289.06200000000001</v>
      </c>
      <c r="J46" s="9">
        <f t="shared" si="4"/>
        <v>29.703688921992953</v>
      </c>
      <c r="K46" s="88">
        <f>+IF(D46="Weekday",J46/$G$102,IF(D46="Saturday",J46/$G$103,IF(D46="Sunday",J46/$G$104, "NA")))</f>
        <v>0.5219180927986885</v>
      </c>
      <c r="L46" s="11">
        <f t="shared" si="5"/>
        <v>3.7777362641924568</v>
      </c>
      <c r="M46" s="114"/>
    </row>
    <row r="47" spans="1:13" x14ac:dyDescent="0.25">
      <c r="A47" s="56" t="s">
        <v>40</v>
      </c>
      <c r="B47">
        <v>227</v>
      </c>
      <c r="C47" t="s">
        <v>37</v>
      </c>
      <c r="D47" t="s">
        <v>15</v>
      </c>
      <c r="E47" s="8">
        <v>33850.726277989605</v>
      </c>
      <c r="F47" s="8">
        <v>977.45080881622789</v>
      </c>
      <c r="G47" s="8">
        <f t="shared" si="3"/>
        <v>32873.275469173379</v>
      </c>
      <c r="H47" s="12">
        <v>881</v>
      </c>
      <c r="I47" s="12">
        <v>294.2</v>
      </c>
      <c r="J47" s="9">
        <f t="shared" si="4"/>
        <v>37.313593041059455</v>
      </c>
      <c r="K47" s="88">
        <f>+IF(D47="Weekday",J47/$G$102,IF(D47="Saturday",J47/$G$103,IF(D47="Sunday",J47/$G$104, "NA")))</f>
        <v>0.65563032815890143</v>
      </c>
      <c r="L47" s="11">
        <f t="shared" si="5"/>
        <v>2.9945615227736235</v>
      </c>
      <c r="M47" s="114"/>
    </row>
    <row r="48" spans="1:13" x14ac:dyDescent="0.25">
      <c r="A48" s="56" t="s">
        <v>40</v>
      </c>
      <c r="B48">
        <v>323</v>
      </c>
      <c r="C48" t="s">
        <v>37</v>
      </c>
      <c r="D48" t="s">
        <v>15</v>
      </c>
      <c r="E48" s="8">
        <v>151464.17548074658</v>
      </c>
      <c r="F48" s="8">
        <v>2949.0909708661388</v>
      </c>
      <c r="G48" s="8">
        <f t="shared" si="3"/>
        <v>148515.08450988043</v>
      </c>
      <c r="H48" s="12">
        <v>3889</v>
      </c>
      <c r="I48" s="12">
        <v>1212.6599999999999</v>
      </c>
      <c r="J48" s="9">
        <f t="shared" si="4"/>
        <v>38.188502059624689</v>
      </c>
      <c r="K48" s="88">
        <f>+IF(D48="Weekday",J48/$G$102,IF(D48="Saturday",J48/$G$103,IF(D48="Sunday",J48/$G$104, "NA")))</f>
        <v>0.67100319472578251</v>
      </c>
      <c r="L48" s="11">
        <f t="shared" si="5"/>
        <v>3.206999488727261</v>
      </c>
      <c r="M48" s="114"/>
    </row>
    <row r="49" spans="1:13" ht="30" x14ac:dyDescent="0.25">
      <c r="A49" s="56" t="s">
        <v>11</v>
      </c>
      <c r="B49">
        <v>410</v>
      </c>
      <c r="C49" t="s">
        <v>37</v>
      </c>
      <c r="D49" t="s">
        <v>15</v>
      </c>
      <c r="E49" s="119">
        <v>220141.18343392</v>
      </c>
      <c r="F49" s="120">
        <v>1537.88</v>
      </c>
      <c r="G49" s="8">
        <f t="shared" si="3"/>
        <v>218603.30343391999</v>
      </c>
      <c r="H49" s="62">
        <v>1974</v>
      </c>
      <c r="I49" s="63">
        <v>645.58000000000004</v>
      </c>
      <c r="J49" s="9">
        <f t="shared" si="4"/>
        <v>110.74128846703141</v>
      </c>
      <c r="K49" s="88">
        <f>+IF(D49="Weekday",J49/$G$102,IF(D49="Saturday",J49/$G$103,IF(D49="Sunday",J49/$G$104, "NA")))</f>
        <v>1.9458149532393001</v>
      </c>
      <c r="L49" s="11">
        <f t="shared" si="5"/>
        <v>3.057715542612844</v>
      </c>
      <c r="M49" s="114" t="s">
        <v>62</v>
      </c>
    </row>
    <row r="50" spans="1:13" ht="30" x14ac:dyDescent="0.25">
      <c r="A50" s="56" t="s">
        <v>11</v>
      </c>
      <c r="B50">
        <v>420</v>
      </c>
      <c r="C50" t="s">
        <v>37</v>
      </c>
      <c r="D50" t="s">
        <v>15</v>
      </c>
      <c r="E50" s="119">
        <v>207894.29216512002</v>
      </c>
      <c r="F50" s="120">
        <v>660.6893</v>
      </c>
      <c r="G50" s="8">
        <f t="shared" si="3"/>
        <v>207233.60286512002</v>
      </c>
      <c r="H50" s="62">
        <v>797</v>
      </c>
      <c r="I50" s="63">
        <v>542.1</v>
      </c>
      <c r="J50" s="9">
        <f t="shared" si="4"/>
        <v>260.01706758484318</v>
      </c>
      <c r="K50" s="88">
        <f>+IF(D50="Weekday",J50/$G$102,IF(D50="Saturday",J50/$G$103,IF(D50="Sunday",J50/$G$104, "NA")))</f>
        <v>4.5687124035462663</v>
      </c>
      <c r="L50" s="11">
        <f t="shared" si="5"/>
        <v>1.4702084486257148</v>
      </c>
      <c r="M50" s="114" t="s">
        <v>64</v>
      </c>
    </row>
    <row r="51" spans="1:13" x14ac:dyDescent="0.25">
      <c r="A51" s="56" t="s">
        <v>11</v>
      </c>
      <c r="B51">
        <v>440</v>
      </c>
      <c r="C51" t="s">
        <v>37</v>
      </c>
      <c r="D51" t="s">
        <v>15</v>
      </c>
      <c r="E51" s="119">
        <v>246244.70457151998</v>
      </c>
      <c r="F51" s="120">
        <v>1383.412</v>
      </c>
      <c r="G51" s="8">
        <f t="shared" si="3"/>
        <v>244861.29257151997</v>
      </c>
      <c r="H51" s="126">
        <v>1541</v>
      </c>
      <c r="I51" s="63">
        <v>776.61000000000013</v>
      </c>
      <c r="J51" s="9">
        <f t="shared" si="4"/>
        <v>158.89765903408176</v>
      </c>
      <c r="K51" s="88">
        <f>+IF(D51="Weekday",J51/$G$102,IF(D51="Saturday",J51/$G$103,IF(D51="Sunday",J51/$G$104, "NA")))</f>
        <v>2.7919617449212093</v>
      </c>
      <c r="L51" s="11">
        <f t="shared" si="5"/>
        <v>1.9842649463694773</v>
      </c>
      <c r="M51" s="114" t="s">
        <v>68</v>
      </c>
    </row>
    <row r="52" spans="1:13" x14ac:dyDescent="0.25">
      <c r="A52" s="56" t="s">
        <v>11</v>
      </c>
      <c r="B52">
        <v>442</v>
      </c>
      <c r="C52" t="s">
        <v>37</v>
      </c>
      <c r="D52" t="s">
        <v>15</v>
      </c>
      <c r="E52" s="119">
        <v>316067.43829424004</v>
      </c>
      <c r="F52" s="120">
        <v>10500.697</v>
      </c>
      <c r="G52" s="8">
        <f t="shared" si="3"/>
        <v>305566.74129424006</v>
      </c>
      <c r="H52" s="127">
        <v>4081</v>
      </c>
      <c r="I52" s="63">
        <v>1246.31</v>
      </c>
      <c r="J52" s="9">
        <f t="shared" si="4"/>
        <v>74.87545731297233</v>
      </c>
      <c r="K52" s="88">
        <f>+IF(D52="Weekday",J52/$G$102,IF(D52="Saturday",J52/$G$103,IF(D52="Sunday",J52/$G$104, "NA")))</f>
        <v>1.3156229847694674</v>
      </c>
      <c r="L52" s="11">
        <f t="shared" si="5"/>
        <v>3.2744662242941165</v>
      </c>
      <c r="M52" s="114"/>
    </row>
    <row r="53" spans="1:13" x14ac:dyDescent="0.25">
      <c r="A53" s="56" t="s">
        <v>11</v>
      </c>
      <c r="B53">
        <v>444</v>
      </c>
      <c r="C53" t="s">
        <v>37</v>
      </c>
      <c r="D53" t="s">
        <v>15</v>
      </c>
      <c r="E53" s="119">
        <v>358880.04609983996</v>
      </c>
      <c r="F53" s="120">
        <v>29251.6044</v>
      </c>
      <c r="G53" s="8">
        <f t="shared" si="3"/>
        <v>329628.44169983995</v>
      </c>
      <c r="H53" s="62">
        <v>15596</v>
      </c>
      <c r="I53" s="63">
        <v>1409.4999999999995</v>
      </c>
      <c r="J53" s="9">
        <f t="shared" si="4"/>
        <v>21.135447659646061</v>
      </c>
      <c r="K53" s="88">
        <f>+IF(D53="Weekday",J53/$G$102,IF(D53="Saturday",J53/$G$103,IF(D53="Sunday",J53/$G$104, "NA")))</f>
        <v>0.37136709053000883</v>
      </c>
      <c r="L53" s="11">
        <f t="shared" si="5"/>
        <v>11.064916637105361</v>
      </c>
      <c r="M53" s="114" t="s">
        <v>22</v>
      </c>
    </row>
    <row r="54" spans="1:13" x14ac:dyDescent="0.25">
      <c r="A54" s="56" t="s">
        <v>11</v>
      </c>
      <c r="B54">
        <v>445</v>
      </c>
      <c r="C54" t="s">
        <v>37</v>
      </c>
      <c r="D54" t="s">
        <v>15</v>
      </c>
      <c r="E54" s="119">
        <v>237316.45040048001</v>
      </c>
      <c r="F54" s="120">
        <v>3529.8101999999999</v>
      </c>
      <c r="G54" s="8">
        <f t="shared" si="3"/>
        <v>233786.64020048</v>
      </c>
      <c r="H54" s="62">
        <v>3889</v>
      </c>
      <c r="I54" s="63">
        <v>792.81</v>
      </c>
      <c r="J54" s="9">
        <f t="shared" si="4"/>
        <v>60.114847055921835</v>
      </c>
      <c r="K54" s="88">
        <f>+IF(D54="Weekday",J54/$G$102,IF(D54="Saturday",J54/$G$103,IF(D54="Sunday",J54/$G$104, "NA")))</f>
        <v>1.0562669979041273</v>
      </c>
      <c r="L54" s="11">
        <f t="shared" si="5"/>
        <v>4.9053367137145099</v>
      </c>
      <c r="M54" s="114"/>
    </row>
    <row r="55" spans="1:13" x14ac:dyDescent="0.25">
      <c r="A55" s="56" t="s">
        <v>11</v>
      </c>
      <c r="B55">
        <v>446</v>
      </c>
      <c r="C55" t="s">
        <v>37</v>
      </c>
      <c r="D55" t="s">
        <v>15</v>
      </c>
      <c r="E55" s="119">
        <v>194242.42104623999</v>
      </c>
      <c r="F55" s="120">
        <v>5709.9399000000003</v>
      </c>
      <c r="G55" s="8">
        <f t="shared" si="3"/>
        <v>188532.48114624</v>
      </c>
      <c r="H55" s="62">
        <v>1665</v>
      </c>
      <c r="I55" s="63">
        <v>393.36000000000007</v>
      </c>
      <c r="J55" s="9">
        <f t="shared" si="4"/>
        <v>113.23272140915316</v>
      </c>
      <c r="K55" s="88">
        <f>+IF(D55="Weekday",J55/$G$102,IF(D55="Saturday",J55/$G$103,IF(D55="Sunday",J55/$G$104, "NA")))</f>
        <v>1.9895914664159255</v>
      </c>
      <c r="L55" s="11">
        <f t="shared" si="5"/>
        <v>4.2327638804148862</v>
      </c>
      <c r="M55" s="114" t="s">
        <v>23</v>
      </c>
    </row>
    <row r="56" spans="1:13" ht="30" x14ac:dyDescent="0.25">
      <c r="A56" s="56" t="s">
        <v>11</v>
      </c>
      <c r="B56">
        <v>447</v>
      </c>
      <c r="C56" t="s">
        <v>37</v>
      </c>
      <c r="D56" t="s">
        <v>15</v>
      </c>
      <c r="E56" s="119">
        <v>344293.23880208004</v>
      </c>
      <c r="F56" s="120">
        <v>1916.1735000000001</v>
      </c>
      <c r="G56" s="8">
        <f t="shared" si="3"/>
        <v>342377.06530208007</v>
      </c>
      <c r="H56" s="62">
        <v>2322</v>
      </c>
      <c r="I56" s="63">
        <v>1354.4099999999999</v>
      </c>
      <c r="J56" s="9">
        <f t="shared" si="4"/>
        <v>147.44920986308358</v>
      </c>
      <c r="K56" s="88">
        <f>+IF(D56="Weekday",J56/$G$102,IF(D56="Saturday",J56/$G$103,IF(D56="Sunday",J56/$G$104, "NA")))</f>
        <v>2.5908031355470715</v>
      </c>
      <c r="L56" s="11">
        <f t="shared" si="5"/>
        <v>1.7143996278822515</v>
      </c>
      <c r="M56" s="114" t="s">
        <v>72</v>
      </c>
    </row>
    <row r="57" spans="1:13" x14ac:dyDescent="0.25">
      <c r="A57" s="56" t="s">
        <v>11</v>
      </c>
      <c r="B57">
        <v>497</v>
      </c>
      <c r="C57" t="s">
        <v>37</v>
      </c>
      <c r="D57" t="s">
        <v>15</v>
      </c>
      <c r="E57" s="119">
        <v>174733.67700512</v>
      </c>
      <c r="F57" s="120">
        <v>1288.1370999999999</v>
      </c>
      <c r="G57" s="8">
        <f t="shared" si="3"/>
        <v>173445.53990512001</v>
      </c>
      <c r="H57" s="62">
        <v>1333</v>
      </c>
      <c r="I57" s="63">
        <v>339.21000000000004</v>
      </c>
      <c r="J57" s="9">
        <f t="shared" si="4"/>
        <v>130.11668409986498</v>
      </c>
      <c r="K57" s="88">
        <f>+IF(D57="Weekday",J57/$G$102,IF(D57="Saturday",J57/$G$103,IF(D57="Sunday",J57/$G$104, "NA")))</f>
        <v>2.2862564910720375</v>
      </c>
      <c r="L57" s="11">
        <f t="shared" si="5"/>
        <v>3.9297190530939532</v>
      </c>
      <c r="M57" s="114"/>
    </row>
    <row r="58" spans="1:13" x14ac:dyDescent="0.25">
      <c r="A58" s="56" t="s">
        <v>11</v>
      </c>
      <c r="B58">
        <v>499</v>
      </c>
      <c r="C58" t="s">
        <v>37</v>
      </c>
      <c r="D58" t="s">
        <v>15</v>
      </c>
      <c r="E58" s="119">
        <v>178814.68630383999</v>
      </c>
      <c r="F58" s="120">
        <v>660.26189999999997</v>
      </c>
      <c r="G58" s="8">
        <f t="shared" si="3"/>
        <v>178154.42440383998</v>
      </c>
      <c r="H58" s="62">
        <v>877</v>
      </c>
      <c r="I58" s="63">
        <v>345.9</v>
      </c>
      <c r="J58" s="9">
        <f t="shared" si="4"/>
        <v>203.14073478202963</v>
      </c>
      <c r="K58" s="88">
        <f>+IF(D58="Weekday",J58/$G$102,IF(D58="Saturday",J58/$G$103,IF(D58="Sunday",J58/$G$104, "NA")))</f>
        <v>3.5693487480829558</v>
      </c>
      <c r="L58" s="11">
        <f t="shared" si="5"/>
        <v>2.5354148597860653</v>
      </c>
      <c r="M58" s="114"/>
    </row>
    <row r="59" spans="1:13" x14ac:dyDescent="0.25">
      <c r="A59" s="56" t="s">
        <v>34</v>
      </c>
      <c r="B59" s="13">
        <v>515</v>
      </c>
      <c r="C59" t="s">
        <v>37</v>
      </c>
      <c r="D59" s="13" t="s">
        <v>15</v>
      </c>
      <c r="E59" s="8">
        <v>505705.58891696396</v>
      </c>
      <c r="F59" s="8">
        <v>36092.98602985109</v>
      </c>
      <c r="G59" s="8">
        <f t="shared" si="3"/>
        <v>469612.60288711288</v>
      </c>
      <c r="H59" s="15">
        <v>40406.5063338705</v>
      </c>
      <c r="I59" s="16">
        <v>1665.7099999999989</v>
      </c>
      <c r="J59" s="9">
        <f t="shared" si="4"/>
        <v>11.622202597938122</v>
      </c>
      <c r="K59" s="88">
        <f>+IF(D59="Weekday",J59/$G$102,IF(D59="Saturday",J59/$G$103,IF(D59="Sunday",J59/$G$104, "NA")))</f>
        <v>0.20421159910359185</v>
      </c>
      <c r="L59" s="11">
        <f t="shared" si="5"/>
        <v>24.257827793475773</v>
      </c>
      <c r="M59" s="115"/>
    </row>
    <row r="60" spans="1:13" x14ac:dyDescent="0.25">
      <c r="A60" s="56" t="s">
        <v>40</v>
      </c>
      <c r="B60">
        <v>534</v>
      </c>
      <c r="C60" t="s">
        <v>37</v>
      </c>
      <c r="D60" t="s">
        <v>15</v>
      </c>
      <c r="E60" s="8">
        <v>61498.300207761225</v>
      </c>
      <c r="F60" s="8">
        <v>1602.9491084768053</v>
      </c>
      <c r="G60" s="8">
        <f t="shared" si="3"/>
        <v>59895.351099284417</v>
      </c>
      <c r="H60" s="12">
        <v>1885</v>
      </c>
      <c r="I60" s="12">
        <v>590.40000000000009</v>
      </c>
      <c r="J60" s="9">
        <f t="shared" si="4"/>
        <v>31.774722068585898</v>
      </c>
      <c r="K60" s="88">
        <f>+IF(D60="Weekday",J60/$G$102,IF(D60="Saturday",J60/$G$103,IF(D60="Sunday",J60/$G$104, "NA")))</f>
        <v>0.55830783795227235</v>
      </c>
      <c r="L60" s="11">
        <f t="shared" si="5"/>
        <v>3.1927506775067744</v>
      </c>
      <c r="M60" s="114"/>
    </row>
    <row r="61" spans="1:13" x14ac:dyDescent="0.25">
      <c r="A61" s="56" t="s">
        <v>40</v>
      </c>
      <c r="B61">
        <v>538</v>
      </c>
      <c r="C61" t="s">
        <v>37</v>
      </c>
      <c r="D61" t="s">
        <v>15</v>
      </c>
      <c r="E61" s="8">
        <v>113837.13953404388</v>
      </c>
      <c r="F61" s="8">
        <v>9788.2940058521781</v>
      </c>
      <c r="G61" s="8">
        <f t="shared" si="3"/>
        <v>104048.8455281917</v>
      </c>
      <c r="H61" s="12">
        <v>9795</v>
      </c>
      <c r="I61" s="12">
        <v>1178.82</v>
      </c>
      <c r="J61" s="9">
        <f t="shared" si="4"/>
        <v>10.622648854332995</v>
      </c>
      <c r="K61" s="88">
        <f>+IF(D61="Weekday",J61/$G$102,IF(D61="Saturday",J61/$G$103,IF(D61="Sunday",J61/$G$104, "NA")))</f>
        <v>0.18664862283885206</v>
      </c>
      <c r="L61" s="11">
        <f t="shared" si="5"/>
        <v>8.3091566142413598</v>
      </c>
      <c r="M61" s="114"/>
    </row>
    <row r="62" spans="1:13" x14ac:dyDescent="0.25">
      <c r="A62" s="56" t="s">
        <v>40</v>
      </c>
      <c r="B62">
        <v>539</v>
      </c>
      <c r="C62" t="s">
        <v>37</v>
      </c>
      <c r="D62" t="s">
        <v>15</v>
      </c>
      <c r="E62" s="8">
        <v>67171.941118637464</v>
      </c>
      <c r="F62" s="8">
        <v>6795.3695529039996</v>
      </c>
      <c r="G62" s="8">
        <f t="shared" si="3"/>
        <v>60376.571565733466</v>
      </c>
      <c r="H62" s="12">
        <v>6799</v>
      </c>
      <c r="I62" s="12">
        <v>540</v>
      </c>
      <c r="J62" s="9">
        <f t="shared" si="4"/>
        <v>8.8802134969456485</v>
      </c>
      <c r="K62" s="88">
        <f>+IF(D62="Weekday",J62/$G$102,IF(D62="Saturday",J62/$G$103,IF(D62="Sunday",J62/$G$104, "NA")))</f>
        <v>0.15603260942244204</v>
      </c>
      <c r="L62" s="11">
        <f t="shared" si="5"/>
        <v>12.59074074074074</v>
      </c>
      <c r="M62" s="114"/>
    </row>
    <row r="63" spans="1:13" x14ac:dyDescent="0.25">
      <c r="A63" s="56" t="s">
        <v>40</v>
      </c>
      <c r="B63">
        <v>540</v>
      </c>
      <c r="C63" t="s">
        <v>37</v>
      </c>
      <c r="D63" t="s">
        <v>15</v>
      </c>
      <c r="E63" s="8">
        <v>158434.15435423001</v>
      </c>
      <c r="F63" s="8">
        <v>10719.692928579352</v>
      </c>
      <c r="G63" s="8">
        <f t="shared" si="3"/>
        <v>147714.46142565066</v>
      </c>
      <c r="H63" s="12">
        <v>9966</v>
      </c>
      <c r="I63" s="12">
        <v>1247.4000000000001</v>
      </c>
      <c r="J63" s="9">
        <f t="shared" si="4"/>
        <v>14.82184039992481</v>
      </c>
      <c r="K63" s="88">
        <f>+IF(D63="Weekday",J63/$G$102,IF(D63="Saturday",J63/$G$103,IF(D63="Sunday",J63/$G$104, "NA")))</f>
        <v>0.26043185052236528</v>
      </c>
      <c r="L63" s="11">
        <f t="shared" si="5"/>
        <v>7.9894179894179889</v>
      </c>
      <c r="M63" s="114"/>
    </row>
    <row r="64" spans="1:13" x14ac:dyDescent="0.25">
      <c r="A64" s="56" t="s">
        <v>40</v>
      </c>
      <c r="B64">
        <v>546</v>
      </c>
      <c r="C64" t="s">
        <v>37</v>
      </c>
      <c r="D64" t="s">
        <v>15</v>
      </c>
      <c r="E64" s="8">
        <v>69724.424669230066</v>
      </c>
      <c r="F64" s="8">
        <v>5935.8466332193439</v>
      </c>
      <c r="G64" s="8">
        <f t="shared" si="3"/>
        <v>63788.578036010724</v>
      </c>
      <c r="H64" s="12">
        <v>4608</v>
      </c>
      <c r="I64" s="12">
        <v>692.3</v>
      </c>
      <c r="J64" s="9">
        <f t="shared" si="4"/>
        <v>13.843007386287049</v>
      </c>
      <c r="K64" s="88">
        <f>+IF(D64="Weekday",J64/$G$102,IF(D64="Saturday",J64/$G$103,IF(D64="Sunday",J64/$G$104, "NA")))</f>
        <v>0.24323295441933082</v>
      </c>
      <c r="L64" s="11">
        <f t="shared" si="5"/>
        <v>6.6560739563772939</v>
      </c>
      <c r="M64" s="114"/>
    </row>
    <row r="65" spans="1:13" x14ac:dyDescent="0.25">
      <c r="A65" s="56" t="s">
        <v>34</v>
      </c>
      <c r="B65" s="13">
        <v>612</v>
      </c>
      <c r="C65" t="s">
        <v>37</v>
      </c>
      <c r="D65" s="13" t="s">
        <v>15</v>
      </c>
      <c r="E65" s="8">
        <v>528393.76260647562</v>
      </c>
      <c r="F65" s="8">
        <v>20317.660297596529</v>
      </c>
      <c r="G65" s="8">
        <f t="shared" si="3"/>
        <v>508076.10230887908</v>
      </c>
      <c r="H65" s="15">
        <v>21802.714607395847</v>
      </c>
      <c r="I65" s="16">
        <v>1955.9199999999978</v>
      </c>
      <c r="J65" s="9">
        <f t="shared" si="4"/>
        <v>23.303341416785372</v>
      </c>
      <c r="K65" s="88">
        <f>+IF(D65="Weekday",J65/$G$102,IF(D65="Saturday",J65/$G$103,IF(D65="Sunday",J65/$G$104, "NA")))</f>
        <v>0.40945875578033347</v>
      </c>
      <c r="L65" s="11">
        <f t="shared" si="5"/>
        <v>11.147038021696117</v>
      </c>
      <c r="M65" s="115"/>
    </row>
    <row r="66" spans="1:13" x14ac:dyDescent="0.25">
      <c r="A66" s="56" t="s">
        <v>40</v>
      </c>
      <c r="B66">
        <v>615</v>
      </c>
      <c r="C66" t="s">
        <v>37</v>
      </c>
      <c r="D66" t="s">
        <v>15</v>
      </c>
      <c r="E66" s="8">
        <v>78946.229457094101</v>
      </c>
      <c r="F66" s="8">
        <v>3292.7583926131542</v>
      </c>
      <c r="G66" s="8">
        <f t="shared" si="3"/>
        <v>75653.471064480953</v>
      </c>
      <c r="H66" s="12">
        <v>3008</v>
      </c>
      <c r="I66" s="12">
        <v>940.06200000000001</v>
      </c>
      <c r="J66" s="9">
        <f t="shared" si="4"/>
        <v>25.150755008138614</v>
      </c>
      <c r="K66" s="88">
        <f>+IF(D66="Weekday",J66/$G$102,IF(D66="Saturday",J66/$G$103,IF(D66="Sunday",J66/$G$104, "NA")))</f>
        <v>0.44191932257194011</v>
      </c>
      <c r="L66" s="11">
        <f t="shared" si="5"/>
        <v>3.1997889500905261</v>
      </c>
      <c r="M66" s="114"/>
    </row>
    <row r="67" spans="1:13" x14ac:dyDescent="0.25">
      <c r="A67" s="56" t="s">
        <v>34</v>
      </c>
      <c r="B67" s="13">
        <v>645</v>
      </c>
      <c r="C67" t="s">
        <v>37</v>
      </c>
      <c r="D67" s="13" t="s">
        <v>15</v>
      </c>
      <c r="E67" s="8">
        <v>276143.132482866</v>
      </c>
      <c r="F67" s="8">
        <v>9795.869423828959</v>
      </c>
      <c r="G67" s="8">
        <f t="shared" si="3"/>
        <v>266347.26305903704</v>
      </c>
      <c r="H67" s="15">
        <v>11689.787195479354</v>
      </c>
      <c r="I67" s="16">
        <v>1258.8499999999997</v>
      </c>
      <c r="J67" s="9">
        <f t="shared" si="4"/>
        <v>22.784611781644596</v>
      </c>
      <c r="K67" s="88">
        <f>+IF(D67="Weekday",J67/$G$102,IF(D67="Saturday",J67/$G$103,IF(D67="Sunday",J67/$G$104, "NA")))</f>
        <v>0.40034425210498764</v>
      </c>
      <c r="L67" s="11">
        <f t="shared" si="5"/>
        <v>9.2860842796833278</v>
      </c>
      <c r="M67" s="115"/>
    </row>
    <row r="68" spans="1:13" x14ac:dyDescent="0.25">
      <c r="A68" s="56" t="s">
        <v>40</v>
      </c>
      <c r="B68">
        <v>716</v>
      </c>
      <c r="C68" t="s">
        <v>37</v>
      </c>
      <c r="D68" t="s">
        <v>15</v>
      </c>
      <c r="E68" s="8">
        <v>52603.790404130312</v>
      </c>
      <c r="F68" s="8">
        <v>3790.5100791001969</v>
      </c>
      <c r="G68" s="8">
        <f t="shared" si="3"/>
        <v>48813.280325030115</v>
      </c>
      <c r="H68" s="12">
        <v>3983</v>
      </c>
      <c r="I68" s="12">
        <v>580.5</v>
      </c>
      <c r="J68" s="9">
        <f t="shared" si="4"/>
        <v>12.255405554865709</v>
      </c>
      <c r="K68" s="88">
        <f>+IF(D68="Weekday",J68/$G$102,IF(D68="Saturday",J68/$G$103,IF(D68="Sunday",J68/$G$104, "NA")))</f>
        <v>0.21533749260799914</v>
      </c>
      <c r="L68" s="11">
        <f t="shared" si="5"/>
        <v>6.8613264427217917</v>
      </c>
      <c r="M68" s="114"/>
    </row>
    <row r="69" spans="1:13" x14ac:dyDescent="0.25">
      <c r="A69" s="56" t="s">
        <v>34</v>
      </c>
      <c r="B69" s="13">
        <v>721</v>
      </c>
      <c r="C69" t="s">
        <v>37</v>
      </c>
      <c r="D69" s="13" t="s">
        <v>15</v>
      </c>
      <c r="E69" s="8">
        <v>214566.38799818078</v>
      </c>
      <c r="F69" s="8">
        <v>6414.9935839430073</v>
      </c>
      <c r="G69" s="8">
        <f t="shared" ref="G69:G98" si="6">E69-F69</f>
        <v>208151.39441423779</v>
      </c>
      <c r="H69" s="15">
        <v>10493.476239682996</v>
      </c>
      <c r="I69" s="16">
        <v>858</v>
      </c>
      <c r="J69" s="9">
        <f t="shared" ref="J69:J98" si="7">G69/H69</f>
        <v>19.836266806139541</v>
      </c>
      <c r="K69" s="88">
        <f>+IF(D69="Weekday",J69/$G$102,IF(D69="Saturday",J69/$G$103,IF(D69="Sunday",J69/$G$104, "NA")))</f>
        <v>0.34853942104278068</v>
      </c>
      <c r="L69" s="11">
        <f t="shared" ref="L69:L98" si="8">H69/I69</f>
        <v>12.230158787509319</v>
      </c>
      <c r="M69" s="115"/>
    </row>
    <row r="70" spans="1:13" x14ac:dyDescent="0.25">
      <c r="A70" s="56" t="s">
        <v>34</v>
      </c>
      <c r="B70" s="13">
        <v>722</v>
      </c>
      <c r="C70" t="s">
        <v>37</v>
      </c>
      <c r="D70" s="13" t="s">
        <v>15</v>
      </c>
      <c r="E70" s="8">
        <v>320159.16886443662</v>
      </c>
      <c r="F70" s="8">
        <v>7936.0602285308105</v>
      </c>
      <c r="G70" s="8">
        <f t="shared" si="6"/>
        <v>312223.10863590584</v>
      </c>
      <c r="H70" s="15">
        <v>15921.027614706369</v>
      </c>
      <c r="I70" s="16">
        <v>1168.9600000000005</v>
      </c>
      <c r="J70" s="9">
        <f t="shared" si="7"/>
        <v>19.610738464362885</v>
      </c>
      <c r="K70" s="88">
        <f>+IF(D70="Weekday",J70/$G$102,IF(D70="Saturday",J70/$G$103,IF(D70="Sunday",J70/$G$104, "NA")))</f>
        <v>0.3445767037411942</v>
      </c>
      <c r="L70" s="11">
        <f t="shared" si="8"/>
        <v>13.619822418822169</v>
      </c>
      <c r="M70" s="115"/>
    </row>
    <row r="71" spans="1:13" x14ac:dyDescent="0.25">
      <c r="A71" s="56" t="s">
        <v>34</v>
      </c>
      <c r="B71" s="13">
        <v>723</v>
      </c>
      <c r="C71" t="s">
        <v>37</v>
      </c>
      <c r="D71" s="13" t="s">
        <v>15</v>
      </c>
      <c r="E71" s="8">
        <v>112742.57546886661</v>
      </c>
      <c r="F71" s="8">
        <v>2928.6213185181805</v>
      </c>
      <c r="G71" s="8">
        <f t="shared" si="6"/>
        <v>109813.95415034842</v>
      </c>
      <c r="H71" s="15">
        <v>7804.4046887804607</v>
      </c>
      <c r="I71" s="16">
        <v>440.96000000000026</v>
      </c>
      <c r="J71" s="9">
        <f t="shared" si="7"/>
        <v>14.070766256933849</v>
      </c>
      <c r="K71" s="88">
        <f>+IF(D71="Weekday",J71/$G$102,IF(D71="Saturday",J71/$G$103,IF(D71="Sunday",J71/$G$104, "NA")))</f>
        <v>0.24723486393629818</v>
      </c>
      <c r="L71" s="11">
        <f t="shared" si="8"/>
        <v>17.698668107720554</v>
      </c>
      <c r="M71" s="115"/>
    </row>
    <row r="72" spans="1:13" x14ac:dyDescent="0.25">
      <c r="A72" s="56" t="s">
        <v>34</v>
      </c>
      <c r="B72" s="13">
        <v>724</v>
      </c>
      <c r="C72" t="s">
        <v>37</v>
      </c>
      <c r="D72" s="13" t="s">
        <v>15</v>
      </c>
      <c r="E72" s="8">
        <v>347392.59503343701</v>
      </c>
      <c r="F72" s="8">
        <v>14647.005204029885</v>
      </c>
      <c r="G72" s="8">
        <f t="shared" si="6"/>
        <v>332745.58982940711</v>
      </c>
      <c r="H72" s="15">
        <v>29585.043259206424</v>
      </c>
      <c r="I72" s="16">
        <v>1168.440000000001</v>
      </c>
      <c r="J72" s="9">
        <f t="shared" si="7"/>
        <v>11.247088162558683</v>
      </c>
      <c r="K72" s="88">
        <f>+IF(D72="Weekday",J72/$G$102,IF(D72="Saturday",J72/$G$103,IF(D72="Sunday",J72/$G$104, "NA")))</f>
        <v>0.1976205318725606</v>
      </c>
      <c r="L72" s="11">
        <f t="shared" si="8"/>
        <v>25.320121922568894</v>
      </c>
      <c r="M72" s="115"/>
    </row>
    <row r="73" spans="1:13" x14ac:dyDescent="0.25">
      <c r="A73" s="56" t="s">
        <v>40</v>
      </c>
      <c r="B73">
        <v>804</v>
      </c>
      <c r="C73" t="s">
        <v>37</v>
      </c>
      <c r="D73" t="s">
        <v>15</v>
      </c>
      <c r="E73" s="8">
        <v>50865.988496964477</v>
      </c>
      <c r="F73" s="8">
        <v>1243.4404804130081</v>
      </c>
      <c r="G73" s="8">
        <f t="shared" si="6"/>
        <v>49622.548016551467</v>
      </c>
      <c r="H73" s="12">
        <v>1206</v>
      </c>
      <c r="I73" s="12">
        <v>449.46000000000004</v>
      </c>
      <c r="J73" s="9">
        <f t="shared" si="7"/>
        <v>41.146391390175346</v>
      </c>
      <c r="K73" s="88">
        <f>+IF(D73="Weekday",J73/$G$102,IF(D73="Saturday",J73/$G$103,IF(D73="Sunday",J73/$G$104, "NA")))</f>
        <v>0.72297572790726083</v>
      </c>
      <c r="L73" s="11">
        <f t="shared" si="8"/>
        <v>2.6832198638366038</v>
      </c>
      <c r="M73" s="114"/>
    </row>
    <row r="74" spans="1:13" x14ac:dyDescent="0.25">
      <c r="A74" s="56" t="s">
        <v>40</v>
      </c>
      <c r="B74">
        <v>805</v>
      </c>
      <c r="C74" t="s">
        <v>37</v>
      </c>
      <c r="D74" t="s">
        <v>15</v>
      </c>
      <c r="E74" s="8">
        <v>81922.537562648446</v>
      </c>
      <c r="F74" s="8">
        <v>3208.7006091142975</v>
      </c>
      <c r="G74" s="8">
        <f t="shared" si="6"/>
        <v>78713.836953534148</v>
      </c>
      <c r="H74" s="12">
        <v>3168</v>
      </c>
      <c r="I74" s="12">
        <v>866.48699999999985</v>
      </c>
      <c r="J74" s="9">
        <f t="shared" si="7"/>
        <v>24.846539442403454</v>
      </c>
      <c r="K74" s="88">
        <f>+IF(D74="Weekday",J74/$G$102,IF(D74="Saturday",J74/$G$103,IF(D74="Sunday",J74/$G$104, "NA")))</f>
        <v>0.43657400643005823</v>
      </c>
      <c r="L74" s="11">
        <f t="shared" si="8"/>
        <v>3.6561425618618637</v>
      </c>
      <c r="M74" s="114"/>
    </row>
    <row r="75" spans="1:13" x14ac:dyDescent="0.25">
      <c r="A75" s="56" t="s">
        <v>40</v>
      </c>
      <c r="B75">
        <v>323</v>
      </c>
      <c r="C75" t="s">
        <v>37</v>
      </c>
      <c r="D75" t="s">
        <v>16</v>
      </c>
      <c r="E75" s="8">
        <v>154488.03505709802</v>
      </c>
      <c r="F75" s="8">
        <v>2096.7377089645565</v>
      </c>
      <c r="G75" s="8">
        <f t="shared" si="6"/>
        <v>152391.29734813346</v>
      </c>
      <c r="H75" s="12">
        <v>2999</v>
      </c>
      <c r="I75" s="12">
        <v>1189.21</v>
      </c>
      <c r="J75" s="9">
        <f t="shared" si="7"/>
        <v>50.81403712842063</v>
      </c>
      <c r="K75" s="88">
        <f>+IF(D75="Weekday",J75/$G$102,IF(D75="Saturday",J75/$G$103,IF(D75="Sunday",J75/$G$104, "NA")))</f>
        <v>0.61223882308529021</v>
      </c>
      <c r="L75" s="11">
        <f t="shared" si="8"/>
        <v>2.5218422313973141</v>
      </c>
      <c r="M75" s="114"/>
    </row>
    <row r="76" spans="1:13" ht="30" x14ac:dyDescent="0.25">
      <c r="A76" s="56" t="s">
        <v>11</v>
      </c>
      <c r="B76">
        <v>410</v>
      </c>
      <c r="C76" t="s">
        <v>37</v>
      </c>
      <c r="D76" t="s">
        <v>16</v>
      </c>
      <c r="E76" s="119">
        <v>231356.55420784</v>
      </c>
      <c r="F76" s="120">
        <v>1055.3599999999999</v>
      </c>
      <c r="G76" s="8">
        <f t="shared" si="6"/>
        <v>230301.19420784002</v>
      </c>
      <c r="H76" s="62">
        <v>1549</v>
      </c>
      <c r="I76" s="63">
        <v>714.86</v>
      </c>
      <c r="J76" s="9">
        <f t="shared" si="7"/>
        <v>148.67733648020661</v>
      </c>
      <c r="K76" s="88">
        <f>+IF(D76="Weekday",J76/$G$102,IF(D76="Saturday",J76/$G$103,IF(D76="Sunday",J76/$G$104, "NA")))</f>
        <v>1.7913561419268911</v>
      </c>
      <c r="L76" s="11">
        <f t="shared" si="8"/>
        <v>2.1668578462915815</v>
      </c>
      <c r="M76" s="114" t="s">
        <v>62</v>
      </c>
    </row>
    <row r="77" spans="1:13" ht="30" x14ac:dyDescent="0.25">
      <c r="A77" s="56" t="s">
        <v>11</v>
      </c>
      <c r="B77">
        <v>420</v>
      </c>
      <c r="C77" t="s">
        <v>37</v>
      </c>
      <c r="D77" t="s">
        <v>16</v>
      </c>
      <c r="E77" s="119">
        <v>209457.67029343999</v>
      </c>
      <c r="F77" s="120">
        <v>477.9255</v>
      </c>
      <c r="G77" s="8">
        <f t="shared" si="6"/>
        <v>208979.74479343998</v>
      </c>
      <c r="H77" s="62">
        <v>581</v>
      </c>
      <c r="I77" s="63">
        <v>551.26</v>
      </c>
      <c r="J77" s="9">
        <f t="shared" si="7"/>
        <v>359.68975007476763</v>
      </c>
      <c r="K77" s="88">
        <f>+IF(D77="Weekday",J77/$G$102,IF(D77="Saturday",J77/$G$103,IF(D77="Sunday",J77/$G$104, "NA")))</f>
        <v>4.3337636941751594</v>
      </c>
      <c r="L77" s="11">
        <f t="shared" si="8"/>
        <v>1.0539491347095744</v>
      </c>
      <c r="M77" s="114" t="s">
        <v>64</v>
      </c>
    </row>
    <row r="78" spans="1:13" x14ac:dyDescent="0.25">
      <c r="A78" s="56" t="s">
        <v>11</v>
      </c>
      <c r="B78">
        <v>440</v>
      </c>
      <c r="C78" t="s">
        <v>37</v>
      </c>
      <c r="D78" t="s">
        <v>16</v>
      </c>
      <c r="E78" s="119">
        <v>247917.54492464001</v>
      </c>
      <c r="F78" s="120">
        <v>1138.6424999999999</v>
      </c>
      <c r="G78" s="8">
        <f t="shared" si="6"/>
        <v>246778.90242464002</v>
      </c>
      <c r="H78" s="62">
        <v>1236</v>
      </c>
      <c r="I78" s="63">
        <v>790.98000000000013</v>
      </c>
      <c r="J78" s="9">
        <f t="shared" si="7"/>
        <v>199.6593061688026</v>
      </c>
      <c r="K78" s="88">
        <f>+IF(D78="Weekday",J78/$G$102,IF(D78="Saturday",J78/$G$103,IF(D78="Sunday",J78/$G$104, "NA")))</f>
        <v>2.4056183199512824</v>
      </c>
      <c r="L78" s="11">
        <f t="shared" si="8"/>
        <v>1.5626185238564816</v>
      </c>
      <c r="M78" s="114" t="s">
        <v>68</v>
      </c>
    </row>
    <row r="79" spans="1:13" x14ac:dyDescent="0.25">
      <c r="A79" s="56" t="s">
        <v>11</v>
      </c>
      <c r="B79">
        <v>442</v>
      </c>
      <c r="C79" t="s">
        <v>37</v>
      </c>
      <c r="D79" t="s">
        <v>16</v>
      </c>
      <c r="E79" s="119">
        <v>319875.43592640001</v>
      </c>
      <c r="F79" s="120">
        <v>2614.8798000000002</v>
      </c>
      <c r="G79" s="8">
        <f t="shared" si="6"/>
        <v>317260.55612640001</v>
      </c>
      <c r="H79" s="62">
        <v>3116</v>
      </c>
      <c r="I79" s="63">
        <v>1269.4800000000002</v>
      </c>
      <c r="J79" s="9">
        <f t="shared" si="7"/>
        <v>101.81660979666239</v>
      </c>
      <c r="K79" s="88">
        <f>+IF(D79="Weekday",J79/$G$102,IF(D79="Saturday",J79/$G$103,IF(D79="Sunday",J79/$G$104, "NA")))</f>
        <v>1.2267492385008281</v>
      </c>
      <c r="L79" s="11">
        <f t="shared" si="8"/>
        <v>2.4545483189967543</v>
      </c>
      <c r="M79" s="114"/>
    </row>
    <row r="80" spans="1:13" x14ac:dyDescent="0.25">
      <c r="A80" s="56" t="s">
        <v>11</v>
      </c>
      <c r="B80">
        <v>444</v>
      </c>
      <c r="C80" t="s">
        <v>37</v>
      </c>
      <c r="D80" t="s">
        <v>16</v>
      </c>
      <c r="E80" s="119">
        <v>355154.467084</v>
      </c>
      <c r="F80" s="120">
        <v>19286.555800000002</v>
      </c>
      <c r="G80" s="8">
        <f t="shared" si="6"/>
        <v>335867.91128400003</v>
      </c>
      <c r="H80" s="62">
        <v>12432</v>
      </c>
      <c r="I80" s="63">
        <v>1387.3899999999999</v>
      </c>
      <c r="J80" s="9">
        <f t="shared" si="7"/>
        <v>27.016402130308883</v>
      </c>
      <c r="K80" s="88">
        <f>+IF(D80="Weekday",J80/$G$102,IF(D80="Saturday",J80/$G$103,IF(D80="Sunday",J80/$G$104, "NA")))</f>
        <v>0.3255102562006047</v>
      </c>
      <c r="L80" s="11">
        <f t="shared" si="8"/>
        <v>8.9607103986622363</v>
      </c>
      <c r="M80" s="114"/>
    </row>
    <row r="81" spans="1:13" x14ac:dyDescent="0.25">
      <c r="A81" s="56" t="s">
        <v>11</v>
      </c>
      <c r="B81">
        <v>445</v>
      </c>
      <c r="C81" t="s">
        <v>37</v>
      </c>
      <c r="D81" t="s">
        <v>16</v>
      </c>
      <c r="E81" s="119">
        <v>238959.67156336</v>
      </c>
      <c r="F81" s="120">
        <v>10313.704099999999</v>
      </c>
      <c r="G81" s="8">
        <f t="shared" si="6"/>
        <v>228645.96746335999</v>
      </c>
      <c r="H81" s="62">
        <v>3286</v>
      </c>
      <c r="I81" s="63">
        <v>807.48</v>
      </c>
      <c r="J81" s="9">
        <f t="shared" si="7"/>
        <v>69.581852545149118</v>
      </c>
      <c r="K81" s="88">
        <f>+IF(D81="Weekday",J81/$G$102,IF(D81="Saturday",J81/$G$103,IF(D81="Sunday",J81/$G$104, "NA")))</f>
        <v>0.83836502505543764</v>
      </c>
      <c r="L81" s="11">
        <f t="shared" si="8"/>
        <v>4.0694506365482734</v>
      </c>
      <c r="M81" s="114"/>
    </row>
    <row r="82" spans="1:13" x14ac:dyDescent="0.25">
      <c r="A82" s="56" t="s">
        <v>11</v>
      </c>
      <c r="B82">
        <v>446</v>
      </c>
      <c r="C82" t="s">
        <v>37</v>
      </c>
      <c r="D82" t="s">
        <v>16</v>
      </c>
      <c r="E82" s="119">
        <v>196662.18010976</v>
      </c>
      <c r="F82" s="120">
        <v>7650.866</v>
      </c>
      <c r="G82" s="8">
        <f t="shared" si="6"/>
        <v>189011.31410975999</v>
      </c>
      <c r="H82" s="62">
        <v>1396</v>
      </c>
      <c r="I82" s="63">
        <v>405.28000000000003</v>
      </c>
      <c r="J82" s="9">
        <f t="shared" si="7"/>
        <v>135.39492414739254</v>
      </c>
      <c r="K82" s="88">
        <f>+IF(D82="Weekday",J82/$G$102,IF(D82="Saturday",J82/$G$103,IF(D82="Sunday",J82/$G$104, "NA")))</f>
        <v>1.6313214555699722</v>
      </c>
      <c r="L82" s="11">
        <f t="shared" si="8"/>
        <v>3.4445321752862217</v>
      </c>
      <c r="M82" s="114"/>
    </row>
    <row r="83" spans="1:13" ht="30" x14ac:dyDescent="0.25">
      <c r="A83" s="56" t="s">
        <v>11</v>
      </c>
      <c r="B83">
        <v>447</v>
      </c>
      <c r="C83" t="s">
        <v>37</v>
      </c>
      <c r="D83" t="s">
        <v>16</v>
      </c>
      <c r="E83" s="119">
        <v>348473.40799856</v>
      </c>
      <c r="F83" s="120">
        <v>1948.3305</v>
      </c>
      <c r="G83" s="8">
        <f t="shared" si="6"/>
        <v>346525.07749856001</v>
      </c>
      <c r="H83" s="62">
        <v>2003</v>
      </c>
      <c r="I83" s="63">
        <v>1379.4799999999998</v>
      </c>
      <c r="J83" s="9">
        <f t="shared" si="7"/>
        <v>173.00303419798303</v>
      </c>
      <c r="K83" s="88">
        <f>+IF(D83="Weekday",J83/$G$102,IF(D83="Saturday",J83/$G$103,IF(D83="Sunday",J83/$G$104, "NA")))</f>
        <v>2.0844471337687915</v>
      </c>
      <c r="L83" s="11">
        <f t="shared" si="8"/>
        <v>1.4519964044422538</v>
      </c>
      <c r="M83" s="114" t="s">
        <v>72</v>
      </c>
    </row>
    <row r="84" spans="1:13" x14ac:dyDescent="0.25">
      <c r="A84" s="56" t="s">
        <v>11</v>
      </c>
      <c r="B84">
        <v>497</v>
      </c>
      <c r="C84" t="s">
        <v>37</v>
      </c>
      <c r="D84" t="s">
        <v>16</v>
      </c>
      <c r="E84" s="119">
        <v>175788.37773583998</v>
      </c>
      <c r="F84" s="120">
        <v>1058.0083999999999</v>
      </c>
      <c r="G84" s="8">
        <f t="shared" si="6"/>
        <v>174730.36933583999</v>
      </c>
      <c r="H84" s="62">
        <v>948</v>
      </c>
      <c r="I84" s="63">
        <v>345.48</v>
      </c>
      <c r="J84" s="9">
        <f t="shared" si="7"/>
        <v>184.31473558632911</v>
      </c>
      <c r="K84" s="88">
        <f>+IF(D84="Weekday",J84/$G$102,IF(D84="Saturday",J84/$G$103,IF(D84="Sunday",J84/$G$104, "NA")))</f>
        <v>2.2207374806190283</v>
      </c>
      <c r="L84" s="11">
        <f t="shared" si="8"/>
        <v>2.7440083362278567</v>
      </c>
      <c r="M84" s="114"/>
    </row>
    <row r="85" spans="1:13" x14ac:dyDescent="0.25">
      <c r="A85" s="56" t="s">
        <v>11</v>
      </c>
      <c r="B85">
        <v>499</v>
      </c>
      <c r="C85" t="s">
        <v>37</v>
      </c>
      <c r="D85" t="s">
        <v>16</v>
      </c>
      <c r="E85" s="119">
        <v>180023.92194015998</v>
      </c>
      <c r="F85" s="120">
        <v>541.27170000000001</v>
      </c>
      <c r="G85" s="8">
        <f t="shared" si="6"/>
        <v>179482.65024015997</v>
      </c>
      <c r="H85" s="62">
        <v>693</v>
      </c>
      <c r="I85" s="63">
        <v>352.5</v>
      </c>
      <c r="J85" s="9">
        <f t="shared" si="7"/>
        <v>258.99372329027415</v>
      </c>
      <c r="K85" s="88">
        <f>+IF(D85="Weekday",J85/$G$102,IF(D85="Saturday",J85/$G$103,IF(D85="Sunday",J85/$G$104, "NA")))</f>
        <v>3.1205159301351344</v>
      </c>
      <c r="L85" s="11">
        <f t="shared" si="8"/>
        <v>1.9659574468085106</v>
      </c>
      <c r="M85" s="114"/>
    </row>
    <row r="86" spans="1:13" x14ac:dyDescent="0.25">
      <c r="A86" s="56" t="s">
        <v>34</v>
      </c>
      <c r="B86" s="13">
        <v>515</v>
      </c>
      <c r="C86" t="s">
        <v>37</v>
      </c>
      <c r="D86" s="13" t="s">
        <v>16</v>
      </c>
      <c r="E86" s="8">
        <v>488124.92958588735</v>
      </c>
      <c r="F86" s="8">
        <v>31182.809678018195</v>
      </c>
      <c r="G86" s="8">
        <f t="shared" si="6"/>
        <v>456942.11990786914</v>
      </c>
      <c r="H86" s="15">
        <v>33077.262059870307</v>
      </c>
      <c r="I86" s="16">
        <v>1614.7900000000011</v>
      </c>
      <c r="J86" s="9">
        <f t="shared" si="7"/>
        <v>13.814387632228977</v>
      </c>
      <c r="K86" s="88">
        <f>+IF(D86="Weekday",J86/$G$102,IF(D86="Saturday",J86/$G$103,IF(D86="Sunday",J86/$G$104, "NA")))</f>
        <v>0.16644425248529224</v>
      </c>
      <c r="L86" s="11">
        <f t="shared" si="8"/>
        <v>20.483940363682141</v>
      </c>
      <c r="M86" s="114"/>
    </row>
    <row r="87" spans="1:13" x14ac:dyDescent="0.25">
      <c r="A87" s="56" t="s">
        <v>40</v>
      </c>
      <c r="B87">
        <v>534</v>
      </c>
      <c r="C87" t="s">
        <v>37</v>
      </c>
      <c r="D87" t="s">
        <v>16</v>
      </c>
      <c r="E87" s="8">
        <v>55287.326441037847</v>
      </c>
      <c r="F87" s="8">
        <v>1126.4457698364417</v>
      </c>
      <c r="G87" s="8">
        <f t="shared" si="6"/>
        <v>54160.880671201405</v>
      </c>
      <c r="H87" s="12">
        <v>1535</v>
      </c>
      <c r="I87" s="12">
        <v>518.33999999999992</v>
      </c>
      <c r="J87" s="9">
        <f t="shared" si="7"/>
        <v>35.283961349316876</v>
      </c>
      <c r="K87" s="88">
        <f>+IF(D87="Weekday",J87/$G$102,IF(D87="Saturday",J87/$G$103,IF(D87="Sunday",J87/$G$104, "NA")))</f>
        <v>0.42512290286438137</v>
      </c>
      <c r="L87" s="11">
        <f t="shared" si="8"/>
        <v>2.9613767025504498</v>
      </c>
      <c r="M87" s="114"/>
    </row>
    <row r="88" spans="1:13" x14ac:dyDescent="0.25">
      <c r="A88" s="56" t="s">
        <v>40</v>
      </c>
      <c r="B88">
        <v>538</v>
      </c>
      <c r="C88" t="s">
        <v>37</v>
      </c>
      <c r="D88" t="s">
        <v>16</v>
      </c>
      <c r="E88" s="8">
        <v>95754.577960684561</v>
      </c>
      <c r="F88" s="8">
        <v>6646.4517219071968</v>
      </c>
      <c r="G88" s="8">
        <f t="shared" si="6"/>
        <v>89108.12623877736</v>
      </c>
      <c r="H88" s="12">
        <v>7470</v>
      </c>
      <c r="I88" s="12">
        <v>998.53199999999993</v>
      </c>
      <c r="J88" s="9">
        <f t="shared" si="7"/>
        <v>11.928798693276756</v>
      </c>
      <c r="K88" s="88">
        <f>+IF(D88="Weekday",J88/$G$102,IF(D88="Saturday",J88/$G$103,IF(D88="Sunday",J88/$G$104, "NA")))</f>
        <v>0.14372551534009761</v>
      </c>
      <c r="L88" s="11">
        <f t="shared" si="8"/>
        <v>7.48098208169593</v>
      </c>
      <c r="M88" s="114"/>
    </row>
    <row r="89" spans="1:13" x14ac:dyDescent="0.25">
      <c r="A89" s="56" t="s">
        <v>40</v>
      </c>
      <c r="B89">
        <v>539</v>
      </c>
      <c r="C89" t="s">
        <v>37</v>
      </c>
      <c r="D89" t="s">
        <v>16</v>
      </c>
      <c r="E89" s="8">
        <v>58145.126743515561</v>
      </c>
      <c r="F89" s="8">
        <v>3912.5983598527691</v>
      </c>
      <c r="G89" s="8">
        <f t="shared" si="6"/>
        <v>54232.528383662793</v>
      </c>
      <c r="H89" s="12">
        <v>4506</v>
      </c>
      <c r="I89" s="12">
        <v>461.70000000000005</v>
      </c>
      <c r="J89" s="9">
        <f t="shared" si="7"/>
        <v>12.035625473515934</v>
      </c>
      <c r="K89" s="88">
        <f>+IF(D89="Weekday",J89/$G$102,IF(D89="Saturday",J89/$G$103,IF(D89="Sunday",J89/$G$104, "NA")))</f>
        <v>0.14501263019858313</v>
      </c>
      <c r="L89" s="11">
        <f t="shared" si="8"/>
        <v>9.7595841455490575</v>
      </c>
      <c r="M89" s="114"/>
    </row>
    <row r="90" spans="1:13" x14ac:dyDescent="0.25">
      <c r="A90" s="56" t="s">
        <v>40</v>
      </c>
      <c r="B90">
        <v>540</v>
      </c>
      <c r="C90" t="s">
        <v>37</v>
      </c>
      <c r="D90" t="s">
        <v>16</v>
      </c>
      <c r="E90" s="8">
        <v>85466.844252778261</v>
      </c>
      <c r="F90" s="8">
        <v>6448.97975138937</v>
      </c>
      <c r="G90" s="8">
        <f t="shared" si="6"/>
        <v>79017.864501388889</v>
      </c>
      <c r="H90" s="12">
        <v>5619</v>
      </c>
      <c r="I90" s="12">
        <v>661.19999999999993</v>
      </c>
      <c r="J90" s="9">
        <f t="shared" si="7"/>
        <v>14.062620484319076</v>
      </c>
      <c r="K90" s="88">
        <f>+IF(D90="Weekday",J90/$G$102,IF(D90="Saturday",J90/$G$103,IF(D90="Sunday",J90/$G$104, "NA")))</f>
        <v>0.16943511481002071</v>
      </c>
      <c r="L90" s="11">
        <f t="shared" si="8"/>
        <v>8.4981851179673331</v>
      </c>
      <c r="M90" s="114"/>
    </row>
    <row r="91" spans="1:13" x14ac:dyDescent="0.25">
      <c r="A91" s="56" t="s">
        <v>40</v>
      </c>
      <c r="B91">
        <v>546</v>
      </c>
      <c r="C91" t="s">
        <v>37</v>
      </c>
      <c r="D91" t="s">
        <v>16</v>
      </c>
      <c r="E91" s="8">
        <v>58464.320732873559</v>
      </c>
      <c r="F91" s="8">
        <v>4118.4028062318184</v>
      </c>
      <c r="G91" s="8">
        <f t="shared" si="6"/>
        <v>54345.917926641741</v>
      </c>
      <c r="H91" s="12">
        <v>2999</v>
      </c>
      <c r="I91" s="12">
        <v>593.69000000000005</v>
      </c>
      <c r="J91" s="9">
        <f t="shared" si="7"/>
        <v>18.121346424355366</v>
      </c>
      <c r="K91" s="88">
        <f>+IF(D91="Weekday",J91/$G$102,IF(D91="Saturday",J91/$G$103,IF(D91="Sunday",J91/$G$104, "NA")))</f>
        <v>0.21833714529568213</v>
      </c>
      <c r="L91" s="11">
        <f t="shared" si="8"/>
        <v>5.0514578315282384</v>
      </c>
      <c r="M91" s="114"/>
    </row>
    <row r="92" spans="1:13" x14ac:dyDescent="0.25">
      <c r="A92" s="56" t="s">
        <v>34</v>
      </c>
      <c r="B92" s="13">
        <v>612</v>
      </c>
      <c r="C92" t="s">
        <v>37</v>
      </c>
      <c r="D92" s="13" t="s">
        <v>16</v>
      </c>
      <c r="E92" s="8">
        <v>373889.63951581612</v>
      </c>
      <c r="F92" s="8">
        <v>12632.920156868309</v>
      </c>
      <c r="G92" s="8">
        <f t="shared" si="6"/>
        <v>361256.71935894783</v>
      </c>
      <c r="H92" s="15">
        <v>15608.809377560921</v>
      </c>
      <c r="I92" s="16">
        <v>1297.8800000000001</v>
      </c>
      <c r="J92" s="9">
        <f t="shared" si="7"/>
        <v>23.144412275178855</v>
      </c>
      <c r="K92" s="88">
        <f>+IF(D92="Weekday",J92/$G$102,IF(D92="Saturday",J92/$G$103,IF(D92="Sunday",J92/$G$104, "NA")))</f>
        <v>0.27885813710383034</v>
      </c>
      <c r="L92" s="11">
        <f t="shared" si="8"/>
        <v>12.026388708941443</v>
      </c>
      <c r="M92" s="114"/>
    </row>
    <row r="93" spans="1:13" x14ac:dyDescent="0.25">
      <c r="A93" s="56" t="s">
        <v>34</v>
      </c>
      <c r="B93" s="13">
        <v>645</v>
      </c>
      <c r="C93" t="s">
        <v>37</v>
      </c>
      <c r="D93" s="13" t="s">
        <v>16</v>
      </c>
      <c r="E93" s="8">
        <v>225599.41706151929</v>
      </c>
      <c r="F93" s="8">
        <v>7737.8704174186787</v>
      </c>
      <c r="G93" s="8">
        <f t="shared" si="6"/>
        <v>217861.5466441006</v>
      </c>
      <c r="H93" s="15">
        <v>7269.3236022247956</v>
      </c>
      <c r="I93" s="16">
        <v>1016.3399999999992</v>
      </c>
      <c r="J93" s="9">
        <f t="shared" si="7"/>
        <v>29.969988758984879</v>
      </c>
      <c r="K93" s="88">
        <f>+IF(D93="Weekday",J93/$G$102,IF(D93="Saturday",J93/$G$103,IF(D93="Sunday",J93/$G$104, "NA")))</f>
        <v>0.36109688744682872</v>
      </c>
      <c r="L93" s="11">
        <f t="shared" si="8"/>
        <v>7.1524525279186113</v>
      </c>
      <c r="M93" s="114"/>
    </row>
    <row r="94" spans="1:13" x14ac:dyDescent="0.25">
      <c r="A94" s="56" t="s">
        <v>34</v>
      </c>
      <c r="B94" s="13">
        <v>721</v>
      </c>
      <c r="C94" t="s">
        <v>37</v>
      </c>
      <c r="D94" s="13" t="s">
        <v>16</v>
      </c>
      <c r="E94" s="8">
        <v>242186.14249045745</v>
      </c>
      <c r="F94" s="8">
        <v>5532.3479541572842</v>
      </c>
      <c r="G94" s="8">
        <f t="shared" si="6"/>
        <v>236653.79453630018</v>
      </c>
      <c r="H94" s="15">
        <v>11553.126014237239</v>
      </c>
      <c r="I94" s="16">
        <v>940.5</v>
      </c>
      <c r="J94" s="9">
        <f t="shared" si="7"/>
        <v>20.483962024188529</v>
      </c>
      <c r="K94" s="88">
        <f>+IF(D94="Weekday",J94/$G$102,IF(D94="Saturday",J94/$G$103,IF(D94="Sunday",J94/$G$104, "NA")))</f>
        <v>0.24680339352132791</v>
      </c>
      <c r="L94" s="11">
        <f t="shared" si="8"/>
        <v>12.284025533479255</v>
      </c>
      <c r="M94" s="114"/>
    </row>
    <row r="95" spans="1:13" x14ac:dyDescent="0.25">
      <c r="A95" s="56" t="s">
        <v>34</v>
      </c>
      <c r="B95" s="13">
        <v>722</v>
      </c>
      <c r="C95" t="s">
        <v>37</v>
      </c>
      <c r="D95" s="13" t="s">
        <v>16</v>
      </c>
      <c r="E95" s="8">
        <v>314828.56350241957</v>
      </c>
      <c r="F95" s="8">
        <v>5827.5820012085796</v>
      </c>
      <c r="G95" s="8">
        <f t="shared" si="6"/>
        <v>309000.981501211</v>
      </c>
      <c r="H95" s="15">
        <v>12388.861699525556</v>
      </c>
      <c r="I95" s="16">
        <v>1198.1399999999994</v>
      </c>
      <c r="J95" s="9">
        <f t="shared" si="7"/>
        <v>24.941837998970033</v>
      </c>
      <c r="K95" s="88">
        <f>+IF(D95="Weekday",J95/$G$102,IF(D95="Saturday",J95/$G$103,IF(D95="Sunday",J95/$G$104, "NA")))</f>
        <v>0.3005146295202073</v>
      </c>
      <c r="L95" s="11">
        <f t="shared" si="8"/>
        <v>10.34007853800521</v>
      </c>
      <c r="M95" s="114"/>
    </row>
    <row r="96" spans="1:13" x14ac:dyDescent="0.25">
      <c r="A96" s="56" t="s">
        <v>34</v>
      </c>
      <c r="B96" s="13">
        <v>723</v>
      </c>
      <c r="C96" t="s">
        <v>37</v>
      </c>
      <c r="D96" s="13" t="s">
        <v>16</v>
      </c>
      <c r="E96" s="8">
        <v>111043.09359604925</v>
      </c>
      <c r="F96" s="8">
        <v>2642.7283444746886</v>
      </c>
      <c r="G96" s="8">
        <f t="shared" si="6"/>
        <v>108400.36525157456</v>
      </c>
      <c r="H96" s="15">
        <v>5637.7993461650876</v>
      </c>
      <c r="I96" s="16">
        <v>436.62000000000052</v>
      </c>
      <c r="J96" s="9">
        <f t="shared" si="7"/>
        <v>19.227425205423469</v>
      </c>
      <c r="K96" s="88">
        <f>+IF(D96="Weekday",J96/$G$102,IF(D96="Saturday",J96/$G$103,IF(D96="Sunday",J96/$G$104, "NA")))</f>
        <v>0.23166386384491533</v>
      </c>
      <c r="L96" s="11">
        <f t="shared" si="8"/>
        <v>12.912370817106593</v>
      </c>
      <c r="M96" s="114"/>
    </row>
    <row r="97" spans="1:13" x14ac:dyDescent="0.25">
      <c r="A97" s="56" t="s">
        <v>34</v>
      </c>
      <c r="B97" s="13">
        <v>724</v>
      </c>
      <c r="C97" t="s">
        <v>37</v>
      </c>
      <c r="D97" s="13" t="s">
        <v>16</v>
      </c>
      <c r="E97" s="8">
        <v>352093.82984063291</v>
      </c>
      <c r="F97" s="8">
        <v>12581.520863656762</v>
      </c>
      <c r="G97" s="8">
        <f t="shared" si="6"/>
        <v>339512.30897697614</v>
      </c>
      <c r="H97" s="15">
        <v>28052.335549583324</v>
      </c>
      <c r="I97" s="16">
        <v>1187.3100000000002</v>
      </c>
      <c r="J97" s="9">
        <f t="shared" si="7"/>
        <v>12.102817905371131</v>
      </c>
      <c r="K97" s="88">
        <f>+IF(D97="Weekday",J97/$G$102,IF(D97="Saturday",J97/$G$103,IF(D97="Sunday",J97/$G$104, "NA")))</f>
        <v>0.14582220601117402</v>
      </c>
      <c r="L97" s="11">
        <f t="shared" si="8"/>
        <v>23.626799698127126</v>
      </c>
      <c r="M97" s="114"/>
    </row>
    <row r="98" spans="1:13" ht="15.75" thickBot="1" x14ac:dyDescent="0.3">
      <c r="A98" s="60" t="s">
        <v>40</v>
      </c>
      <c r="B98" s="50">
        <v>804</v>
      </c>
      <c r="C98" s="50" t="s">
        <v>37</v>
      </c>
      <c r="D98" s="50" t="s">
        <v>16</v>
      </c>
      <c r="E98" s="65">
        <v>46104.355747867237</v>
      </c>
      <c r="F98" s="65">
        <v>885.04339965789632</v>
      </c>
      <c r="G98" s="65">
        <f t="shared" si="6"/>
        <v>45219.312348209343</v>
      </c>
      <c r="H98" s="66">
        <v>945</v>
      </c>
      <c r="I98" s="66">
        <v>390.45100000000002</v>
      </c>
      <c r="J98" s="51">
        <f t="shared" si="7"/>
        <v>47.851124177999303</v>
      </c>
      <c r="K98" s="89">
        <f>+IF(D98="Weekday",J98/$G$102,IF(D98="Saturday",J98/$G$103,IF(D98="Sunday",J98/$G$104, "NA")))</f>
        <v>0.5765398225692393</v>
      </c>
      <c r="L98" s="53">
        <f t="shared" si="8"/>
        <v>2.420278088671818</v>
      </c>
      <c r="M98" s="116"/>
    </row>
    <row r="100" spans="1:13" ht="15.75" thickBot="1" x14ac:dyDescent="0.3"/>
    <row r="101" spans="1:13" ht="36" x14ac:dyDescent="0.25">
      <c r="D101" s="168" t="s">
        <v>123</v>
      </c>
      <c r="E101" s="169"/>
      <c r="F101" s="55" t="s">
        <v>90</v>
      </c>
      <c r="G101" s="69" t="s">
        <v>91</v>
      </c>
      <c r="H101" s="69" t="s">
        <v>92</v>
      </c>
      <c r="I101" s="69" t="s">
        <v>93</v>
      </c>
      <c r="J101" s="70" t="s">
        <v>94</v>
      </c>
      <c r="K101" s="175" t="s">
        <v>122</v>
      </c>
    </row>
    <row r="102" spans="1:13" x14ac:dyDescent="0.25">
      <c r="D102" s="164">
        <f>COUNTIF($D$5:$D$98, "Weekday")</f>
        <v>40</v>
      </c>
      <c r="E102" s="45"/>
      <c r="F102" s="56" t="s">
        <v>7</v>
      </c>
      <c r="G102" s="47">
        <f>AVERAGEIF($D$5:$D$98,"Weekday",J5:J98)</f>
        <v>33.215974752931601</v>
      </c>
      <c r="H102" s="57">
        <f>G102*1.2</f>
        <v>39.859169703517921</v>
      </c>
      <c r="I102" s="58">
        <f>G102*1.35</f>
        <v>44.841565916457661</v>
      </c>
      <c r="J102" s="59">
        <f>G102*1.6</f>
        <v>53.145559604690561</v>
      </c>
      <c r="K102" s="176">
        <f>+SUMIF($D$5:$D$98,"Weekday",$G$5:$G$98)/SUMIF($D$5:$D$98,"Weekday",$H$5:$H$98)</f>
        <v>18.74266743356328</v>
      </c>
    </row>
    <row r="103" spans="1:13" x14ac:dyDescent="0.25">
      <c r="D103" s="164">
        <f>COUNTIF($D$5:$D$98, "Saturday")</f>
        <v>30</v>
      </c>
      <c r="E103" s="45"/>
      <c r="F103" s="56" t="s">
        <v>15</v>
      </c>
      <c r="G103" s="47">
        <f>AVERAGEIF($D$5:$D$98,"Saturday",J5:J98)</f>
        <v>56.91254879230658</v>
      </c>
      <c r="H103" s="57">
        <f>G103*1.2</f>
        <v>68.295058550767891</v>
      </c>
      <c r="I103" s="58">
        <f>G103*1.35</f>
        <v>76.831940869613888</v>
      </c>
      <c r="J103" s="59">
        <f>G103*1.6</f>
        <v>91.06007806769054</v>
      </c>
      <c r="K103" s="176">
        <f>+SUMIF($D$5:$D$98,"saturday",$G$5:$G$98)/SUMIF($D$5:$D$98,"saturday",$H$5:$H$98)</f>
        <v>24.657524772886934</v>
      </c>
    </row>
    <row r="104" spans="1:13" ht="15.75" thickBot="1" x14ac:dyDescent="0.3">
      <c r="D104" s="165">
        <f>COUNTIF($D$5:$D$98, "Sunday")</f>
        <v>24</v>
      </c>
      <c r="E104" s="54"/>
      <c r="F104" s="56" t="s">
        <v>16</v>
      </c>
      <c r="G104" s="61">
        <f>AVERAGEIF($D$5:$D$98,"Sunday",J5:J98)</f>
        <v>82.997084164559411</v>
      </c>
      <c r="H104" s="57">
        <f>G104*1.2</f>
        <v>99.596500997471296</v>
      </c>
      <c r="I104" s="58">
        <f>G104*1.35</f>
        <v>112.04606362215522</v>
      </c>
      <c r="J104" s="59">
        <f>G104*1.6</f>
        <v>132.79533466329505</v>
      </c>
      <c r="K104" s="177">
        <f>+SUMIF($D$5:$D$98,"Sunday",$G$5:$G$98)/SUMIF($D$5:$D$98,"Sunday",$H$5:$H$98)</f>
        <v>30.051958626169199</v>
      </c>
    </row>
    <row r="105" spans="1:13" ht="15.75" thickBot="1" x14ac:dyDescent="0.3">
      <c r="F105" s="157" t="s">
        <v>119</v>
      </c>
      <c r="G105" s="180">
        <v>10</v>
      </c>
      <c r="H105" s="158"/>
      <c r="I105" s="158"/>
      <c r="J105" s="159"/>
      <c r="K105" s="177">
        <f>+SUM($G$5:$G$98)/SUM($H$5:$H$98)</f>
        <v>20.145914778027848</v>
      </c>
    </row>
  </sheetData>
  <autoFilter ref="A4:M98" xr:uid="{A7699148-0E12-4E72-99D8-E08F9F3D27D6}"/>
  <sortState xmlns:xlrd2="http://schemas.microsoft.com/office/spreadsheetml/2017/richdata2" ref="A5:M98">
    <sortCondition ref="D5:D98" customList="Weekday,Wk,Saturday,Sat,Sunday,Sun,Sunday/Holiday,Sunday / Holiday,Reduced"/>
    <sortCondition ref="B5:B98"/>
  </sortState>
  <conditionalFormatting sqref="A98:C98 E98:F98">
    <cfRule type="expression" dxfId="36" priority="2">
      <formula>(ROW(A98)-1)/3=ROUND((ROW(A98)-1)/3,0)</formula>
    </cfRule>
  </conditionalFormatting>
  <conditionalFormatting sqref="A5:F60">
    <cfRule type="expression" dxfId="35" priority="5">
      <formula>(ROW(A5)-1)/3=ROUND((ROW(A5)-1)/3,0)</formula>
    </cfRule>
  </conditionalFormatting>
  <conditionalFormatting sqref="H5:I60">
    <cfRule type="expression" dxfId="34" priority="4">
      <formula>(ROW(H5)-1)/3=ROUND((ROW(H5)-1)/3,0)</formula>
    </cfRule>
  </conditionalFormatting>
  <conditionalFormatting sqref="H98:I98">
    <cfRule type="expression" dxfId="33" priority="1">
      <formula>(ROW(H98)-1)/3=ROUND((ROW(H98)-1)/3,0)</formula>
    </cfRule>
  </conditionalFormatting>
  <conditionalFormatting sqref="K1">
    <cfRule type="cellIs" dxfId="32" priority="10" operator="greaterThan">
      <formula>1.6</formula>
    </cfRule>
  </conditionalFormatting>
  <conditionalFormatting sqref="K5:K98">
    <cfRule type="cellIs" dxfId="31" priority="7" operator="greaterThan">
      <formula>1.6</formula>
    </cfRule>
    <cfRule type="cellIs" dxfId="30" priority="8" operator="between">
      <formula>1.35</formula>
      <formula>1.6</formula>
    </cfRule>
    <cfRule type="cellIs" dxfId="29" priority="9" operator="between">
      <formula>1.2</formula>
      <formula>1.35</formula>
    </cfRule>
  </conditionalFormatting>
  <conditionalFormatting sqref="L5:L98">
    <cfRule type="cellIs" dxfId="28" priority="6" operator="lessThan">
      <formula>$G$105</formula>
    </cfRule>
  </conditionalFormatting>
  <conditionalFormatting sqref="M45:M60">
    <cfRule type="expression" dxfId="27" priority="3">
      <formula>(ROW(M45)-1)/3=ROUND((ROW(M45)-1)/3,0)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87BB-8D16-4B1E-AAF0-49890808CA53}">
  <dimension ref="A1:Q23"/>
  <sheetViews>
    <sheetView workbookViewId="0">
      <selection activeCell="L19" sqref="L19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5.140625" bestFit="1" customWidth="1"/>
    <col min="7" max="7" width="12.71093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</cols>
  <sheetData>
    <row r="1" spans="1:17" ht="18.75" x14ac:dyDescent="0.3">
      <c r="A1" s="32" t="s">
        <v>102</v>
      </c>
    </row>
    <row r="2" spans="1:17" ht="46.5" x14ac:dyDescent="0.7">
      <c r="A2" s="183" t="s">
        <v>103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7" ht="15.75" thickBot="1" x14ac:dyDescent="0.3"/>
    <row r="4" spans="1:17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126</v>
      </c>
      <c r="J4" s="82" t="s">
        <v>28</v>
      </c>
      <c r="K4" s="83" t="s">
        <v>87</v>
      </c>
      <c r="L4" s="83" t="s">
        <v>88</v>
      </c>
      <c r="M4" s="84" t="s">
        <v>89</v>
      </c>
    </row>
    <row r="5" spans="1:17" x14ac:dyDescent="0.25">
      <c r="A5" s="128" t="s">
        <v>34</v>
      </c>
      <c r="B5" s="133">
        <v>921</v>
      </c>
      <c r="C5" s="129" t="s">
        <v>104</v>
      </c>
      <c r="D5" s="133" t="s">
        <v>7</v>
      </c>
      <c r="E5" s="125">
        <v>6234033.2391254706</v>
      </c>
      <c r="F5" s="14">
        <v>1074315.0100678785</v>
      </c>
      <c r="G5" s="125">
        <f>E5-F5</f>
        <v>5159718.2290575923</v>
      </c>
      <c r="H5" s="15">
        <v>797396</v>
      </c>
      <c r="I5" s="16">
        <v>22276.000000000127</v>
      </c>
      <c r="J5" s="85">
        <f t="shared" ref="J5:J13" si="0">G5/H5</f>
        <v>6.4707099472001266</v>
      </c>
      <c r="K5" s="135">
        <f>J5/$F$20</f>
        <v>1.0915102152441876</v>
      </c>
      <c r="L5" s="136">
        <f t="shared" ref="L5:L13" si="1">H5/I5</f>
        <v>35.796193212425727</v>
      </c>
      <c r="M5" s="131"/>
    </row>
    <row r="6" spans="1:17" ht="15.75" customHeight="1" x14ac:dyDescent="0.25">
      <c r="A6" s="56" t="s">
        <v>34</v>
      </c>
      <c r="B6" s="13">
        <v>923</v>
      </c>
      <c r="C6" t="s">
        <v>104</v>
      </c>
      <c r="D6" s="13" t="s">
        <v>7</v>
      </c>
      <c r="E6" s="8">
        <v>7246414.7721376251</v>
      </c>
      <c r="F6" s="8">
        <v>695626.03481318639</v>
      </c>
      <c r="G6" s="8">
        <f t="shared" ref="G6:G13" si="2">E6-F6</f>
        <v>6550788.737324439</v>
      </c>
      <c r="H6" s="15">
        <v>1280455</v>
      </c>
      <c r="I6" s="16">
        <v>28354.060000000081</v>
      </c>
      <c r="J6" s="9">
        <f t="shared" si="0"/>
        <v>5.1159851281961792</v>
      </c>
      <c r="K6" s="44">
        <f>J6/$F$20</f>
        <v>0.86298877156126175</v>
      </c>
      <c r="L6" s="2">
        <f t="shared" si="1"/>
        <v>45.15949391374626</v>
      </c>
      <c r="M6" s="45"/>
    </row>
    <row r="7" spans="1:17" x14ac:dyDescent="0.25">
      <c r="A7" s="56" t="s">
        <v>34</v>
      </c>
      <c r="B7" s="13">
        <v>924</v>
      </c>
      <c r="C7" t="s">
        <v>104</v>
      </c>
      <c r="D7" s="13" t="s">
        <v>7</v>
      </c>
      <c r="E7" s="8">
        <v>1054308.131701594</v>
      </c>
      <c r="F7" s="8">
        <v>118305.22585984254</v>
      </c>
      <c r="G7" s="8">
        <f t="shared" si="2"/>
        <v>936002.90584175149</v>
      </c>
      <c r="H7" s="15">
        <v>151017.96395152676</v>
      </c>
      <c r="I7" s="16">
        <v>4503.7899999999991</v>
      </c>
      <c r="J7" s="9">
        <f t="shared" si="0"/>
        <v>6.1979573909643397</v>
      </c>
      <c r="K7" s="44">
        <f>J7/$F$20</f>
        <v>1.0455010131945506</v>
      </c>
      <c r="L7" s="2">
        <f t="shared" si="1"/>
        <v>33.531306733112956</v>
      </c>
      <c r="M7" s="45"/>
    </row>
    <row r="8" spans="1:17" x14ac:dyDescent="0.25">
      <c r="A8" s="56" t="s">
        <v>34</v>
      </c>
      <c r="B8" s="13">
        <v>921</v>
      </c>
      <c r="C8" t="s">
        <v>104</v>
      </c>
      <c r="D8" s="13" t="s">
        <v>15</v>
      </c>
      <c r="E8" s="8">
        <v>1231181.2088343641</v>
      </c>
      <c r="F8" s="8">
        <v>187731.62466884591</v>
      </c>
      <c r="G8" s="8">
        <f t="shared" si="2"/>
        <v>1043449.5841655182</v>
      </c>
      <c r="H8" s="15">
        <v>152528</v>
      </c>
      <c r="I8" s="16">
        <v>4298.8000000000011</v>
      </c>
      <c r="J8" s="9">
        <f t="shared" si="0"/>
        <v>6.8410362960605147</v>
      </c>
      <c r="K8" s="44">
        <f>J8/$F$21</f>
        <v>0.97085899960862543</v>
      </c>
      <c r="L8" s="2">
        <f t="shared" si="1"/>
        <v>35.48152972922675</v>
      </c>
      <c r="M8" s="45"/>
    </row>
    <row r="9" spans="1:17" x14ac:dyDescent="0.25">
      <c r="A9" s="56" t="s">
        <v>34</v>
      </c>
      <c r="B9" s="13">
        <v>923</v>
      </c>
      <c r="C9" t="s">
        <v>104</v>
      </c>
      <c r="D9" s="13" t="s">
        <v>15</v>
      </c>
      <c r="E9" s="8">
        <v>1331933.0962976844</v>
      </c>
      <c r="F9" s="8">
        <v>79410.968271362042</v>
      </c>
      <c r="G9" s="8">
        <f t="shared" si="2"/>
        <v>1252522.1280263222</v>
      </c>
      <c r="H9" s="15">
        <v>192904</v>
      </c>
      <c r="I9" s="16">
        <v>5003.1699999999973</v>
      </c>
      <c r="J9" s="9">
        <f t="shared" si="0"/>
        <v>6.4929816283038306</v>
      </c>
      <c r="K9" s="44">
        <f>J9/$F$21</f>
        <v>0.92146414305129987</v>
      </c>
      <c r="L9" s="2">
        <f t="shared" si="1"/>
        <v>38.55635527075836</v>
      </c>
      <c r="M9" s="45"/>
    </row>
    <row r="10" spans="1:17" x14ac:dyDescent="0.25">
      <c r="A10" s="56" t="s">
        <v>34</v>
      </c>
      <c r="B10" s="13">
        <v>924</v>
      </c>
      <c r="C10" t="s">
        <v>104</v>
      </c>
      <c r="D10" s="13" t="s">
        <v>15</v>
      </c>
      <c r="E10" s="8">
        <v>253362.45764552741</v>
      </c>
      <c r="F10" s="8">
        <v>15317.87480280552</v>
      </c>
      <c r="G10" s="8">
        <f t="shared" si="2"/>
        <v>238044.58284272189</v>
      </c>
      <c r="H10" s="15">
        <v>30498.570693817179</v>
      </c>
      <c r="I10" s="16">
        <v>1085.05</v>
      </c>
      <c r="J10" s="9">
        <f t="shared" si="0"/>
        <v>7.8051061878443857</v>
      </c>
      <c r="K10" s="44">
        <f>J10/$F$21</f>
        <v>1.1076768573400742</v>
      </c>
      <c r="L10" s="2">
        <f t="shared" si="1"/>
        <v>28.107986446539034</v>
      </c>
      <c r="M10" s="45"/>
      <c r="N10" s="3"/>
      <c r="O10" s="3"/>
      <c r="P10" s="3"/>
      <c r="Q10" s="3"/>
    </row>
    <row r="11" spans="1:17" x14ac:dyDescent="0.25">
      <c r="A11" s="56" t="s">
        <v>34</v>
      </c>
      <c r="B11" s="13">
        <v>921</v>
      </c>
      <c r="C11" t="s">
        <v>104</v>
      </c>
      <c r="D11" s="13" t="s">
        <v>16</v>
      </c>
      <c r="E11" s="8">
        <v>1250666.3035618742</v>
      </c>
      <c r="F11" s="8">
        <v>137997.14063754876</v>
      </c>
      <c r="G11" s="8">
        <f t="shared" si="2"/>
        <v>1112669.1629243256</v>
      </c>
      <c r="H11" s="15">
        <v>131938</v>
      </c>
      <c r="I11" s="16">
        <v>4378.7700000000004</v>
      </c>
      <c r="J11" s="9">
        <f t="shared" si="0"/>
        <v>8.4332729230723942</v>
      </c>
      <c r="K11" s="44">
        <f>J11/$F$22</f>
        <v>1.0000454957189489</v>
      </c>
      <c r="L11" s="2">
        <f t="shared" si="1"/>
        <v>30.131292577595989</v>
      </c>
      <c r="M11" s="45"/>
      <c r="N11" s="47"/>
      <c r="O11" s="48"/>
      <c r="P11" s="47"/>
      <c r="Q11" s="49"/>
    </row>
    <row r="12" spans="1:17" x14ac:dyDescent="0.25">
      <c r="A12" s="56" t="s">
        <v>34</v>
      </c>
      <c r="B12" s="13">
        <v>923</v>
      </c>
      <c r="C12" t="s">
        <v>104</v>
      </c>
      <c r="D12" s="13" t="s">
        <v>16</v>
      </c>
      <c r="E12" s="8">
        <v>1436223.6061023797</v>
      </c>
      <c r="F12" s="8">
        <v>67614.092214244287</v>
      </c>
      <c r="G12" s="8">
        <f t="shared" si="2"/>
        <v>1368609.5138881356</v>
      </c>
      <c r="H12" s="12">
        <v>188545</v>
      </c>
      <c r="I12" s="16">
        <v>5332.3299999999981</v>
      </c>
      <c r="J12" s="9">
        <f t="shared" si="0"/>
        <v>7.2587950562896681</v>
      </c>
      <c r="K12" s="44">
        <f>J12/$F$22</f>
        <v>0.86077201184007524</v>
      </c>
      <c r="L12" s="2">
        <f t="shared" si="1"/>
        <v>35.35883938165869</v>
      </c>
      <c r="M12" s="46"/>
      <c r="N12" s="47"/>
      <c r="O12" s="48"/>
      <c r="P12" s="47"/>
      <c r="Q12" s="49"/>
    </row>
    <row r="13" spans="1:17" ht="15.75" thickBot="1" x14ac:dyDescent="0.3">
      <c r="A13" s="60" t="s">
        <v>34</v>
      </c>
      <c r="B13" s="137">
        <v>924</v>
      </c>
      <c r="C13" s="50" t="s">
        <v>104</v>
      </c>
      <c r="D13" s="137" t="s">
        <v>16</v>
      </c>
      <c r="E13" s="65">
        <v>185604.45998841801</v>
      </c>
      <c r="F13" s="65">
        <v>8309.2144705171922</v>
      </c>
      <c r="G13" s="65">
        <f t="shared" si="2"/>
        <v>177295.24551790082</v>
      </c>
      <c r="H13" s="118">
        <v>18455.566906819742</v>
      </c>
      <c r="I13" s="123">
        <v>789.52</v>
      </c>
      <c r="J13" s="51">
        <f t="shared" si="0"/>
        <v>9.6065998087756537</v>
      </c>
      <c r="K13" s="52">
        <f>J13/$F$22</f>
        <v>1.1391824924409764</v>
      </c>
      <c r="L13" s="75">
        <f t="shared" si="1"/>
        <v>23.375680042075871</v>
      </c>
      <c r="M13" s="54"/>
      <c r="N13" s="47"/>
      <c r="O13" s="48"/>
      <c r="P13" s="47"/>
      <c r="Q13" s="49"/>
    </row>
    <row r="14" spans="1:17" x14ac:dyDescent="0.25">
      <c r="N14" s="47"/>
      <c r="O14" s="48"/>
      <c r="P14" s="47"/>
      <c r="Q14" s="49"/>
    </row>
    <row r="15" spans="1:17" x14ac:dyDescent="0.25">
      <c r="N15" s="47"/>
      <c r="O15" s="48"/>
      <c r="P15" s="47"/>
      <c r="Q15" s="49"/>
    </row>
    <row r="16" spans="1:17" x14ac:dyDescent="0.25">
      <c r="N16" s="47"/>
      <c r="O16" s="48"/>
      <c r="P16" s="47"/>
      <c r="Q16" s="49"/>
    </row>
    <row r="17" spans="4:17" x14ac:dyDescent="0.25">
      <c r="N17" s="47"/>
      <c r="O17" s="48"/>
      <c r="P17" s="47"/>
      <c r="Q17" s="49"/>
    </row>
    <row r="18" spans="4:17" ht="15.75" thickBot="1" x14ac:dyDescent="0.3">
      <c r="N18" s="47"/>
      <c r="O18" s="48"/>
      <c r="P18" s="47"/>
      <c r="Q18" s="49"/>
    </row>
    <row r="19" spans="4:17" ht="48" x14ac:dyDescent="0.25">
      <c r="D19" s="168" t="s">
        <v>123</v>
      </c>
      <c r="E19" s="55" t="s">
        <v>90</v>
      </c>
      <c r="F19" s="69" t="s">
        <v>91</v>
      </c>
      <c r="G19" s="69" t="s">
        <v>92</v>
      </c>
      <c r="H19" s="69" t="s">
        <v>93</v>
      </c>
      <c r="I19" s="70" t="s">
        <v>94</v>
      </c>
      <c r="J19" s="175" t="s">
        <v>122</v>
      </c>
      <c r="N19" s="47"/>
      <c r="O19" s="48"/>
      <c r="P19" s="47"/>
    </row>
    <row r="20" spans="4:17" x14ac:dyDescent="0.25">
      <c r="D20" s="164">
        <f>COUNTIF($D$5:$D$13, "Weekday")</f>
        <v>3</v>
      </c>
      <c r="E20" s="90" t="s">
        <v>7</v>
      </c>
      <c r="F20" s="91">
        <f>AVERAGEIF($D$5:$D$13,"Weekday",J5:J13)</f>
        <v>5.9282174887868822</v>
      </c>
      <c r="G20" s="92">
        <f>F20*1.2</f>
        <v>7.1138609865442586</v>
      </c>
      <c r="H20" s="93">
        <f>F20*1.35</f>
        <v>8.003093609862292</v>
      </c>
      <c r="I20" s="94">
        <f>F20*1.6</f>
        <v>9.4851479820590114</v>
      </c>
      <c r="J20" s="176">
        <f>+SUMIF($D$5:$D$13,"Weekday",$G$5:$G$13)/SUMIF($D$5:$D$13,"Weekday",$H$5:$H$13)</f>
        <v>5.6739584411472013</v>
      </c>
      <c r="N20" s="47"/>
      <c r="O20" s="48"/>
      <c r="P20" s="47"/>
    </row>
    <row r="21" spans="4:17" x14ac:dyDescent="0.25">
      <c r="D21" s="164">
        <f>COUNTIF($D$5:$D$13, "Saturday")</f>
        <v>3</v>
      </c>
      <c r="E21" s="90" t="s">
        <v>15</v>
      </c>
      <c r="F21" s="91">
        <f>AVERAGEIF($D$5:$D$13,"Saturday",J5:J13)</f>
        <v>7.0463747040695779</v>
      </c>
      <c r="G21" s="92">
        <f>F21*1.2</f>
        <v>8.4556496448834935</v>
      </c>
      <c r="H21" s="93">
        <f>F21*1.35</f>
        <v>9.5126058504939301</v>
      </c>
      <c r="I21" s="94">
        <f>F21*1.6</f>
        <v>11.274199526511325</v>
      </c>
      <c r="J21" s="176">
        <f>+SUMIF($D$5:$D$13,"saturday",$G$5:$G$13)/SUMIF($D$5:$D$13,"saturday",$H$5:$H$13)</f>
        <v>6.7406497172011957</v>
      </c>
    </row>
    <row r="22" spans="4:17" ht="15.75" thickBot="1" x14ac:dyDescent="0.3">
      <c r="D22" s="165">
        <f>COUNTIF($D$5:$D$13, "Sunday")</f>
        <v>3</v>
      </c>
      <c r="E22" s="90" t="s">
        <v>16</v>
      </c>
      <c r="F22" s="182">
        <f>AVERAGEIF($D$5:$D$13,"Sunday",J5:J13)</f>
        <v>8.4328892627125711</v>
      </c>
      <c r="G22" s="92">
        <f>F22*1.2</f>
        <v>10.119467115255086</v>
      </c>
      <c r="H22" s="93">
        <f>F22*1.35</f>
        <v>11.384400504661972</v>
      </c>
      <c r="I22" s="94">
        <f>F22*1.6</f>
        <v>13.492622820340115</v>
      </c>
      <c r="J22" s="177">
        <f>+SUMIF($D$5:$D$13,"Sunday",$G$5:$G$13)/SUMIF($D$5:$D$13,"Sunday",$H$5:$H$13)</f>
        <v>7.8438223970577274</v>
      </c>
    </row>
    <row r="23" spans="4:17" ht="15.75" thickBot="1" x14ac:dyDescent="0.3">
      <c r="E23" s="160" t="s">
        <v>119</v>
      </c>
      <c r="F23" s="180">
        <v>25</v>
      </c>
      <c r="G23" s="158"/>
      <c r="H23" s="158"/>
      <c r="I23" s="159"/>
      <c r="J23" s="177">
        <f>+SUM($G$5:$G$13)/SUM($H$5:$H$13)</f>
        <v>6.0600160320588898</v>
      </c>
    </row>
  </sheetData>
  <sortState xmlns:xlrd2="http://schemas.microsoft.com/office/spreadsheetml/2017/richdata2" ref="A5:M13">
    <sortCondition ref="D5:D13" customList="Weekday,Wk,Saturday,Sat,Sunday,Sun,Sunday/Holiday,Sunday / Holiday,Reduced"/>
    <sortCondition ref="B5:B13"/>
  </sortState>
  <mergeCells count="1">
    <mergeCell ref="A2:M2"/>
  </mergeCells>
  <conditionalFormatting sqref="F5">
    <cfRule type="expression" dxfId="26" priority="8">
      <formula>(ROW(F5)-1)/3=ROUND((ROW(F5)-1)/3,0)</formula>
    </cfRule>
  </conditionalFormatting>
  <conditionalFormatting sqref="H5:I10">
    <cfRule type="expression" dxfId="25" priority="1">
      <formula>(ROW(H5)-1)/3=ROUND((ROW(H5)-1)/3,0)</formula>
    </cfRule>
  </conditionalFormatting>
  <conditionalFormatting sqref="K1">
    <cfRule type="cellIs" dxfId="24" priority="11" operator="greaterThan">
      <formula>1.6</formula>
    </cfRule>
  </conditionalFormatting>
  <conditionalFormatting sqref="L5:L13">
    <cfRule type="cellIs" dxfId="23" priority="18" operator="lessThan">
      <formula>$F$23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A104-476E-4AB4-9F61-7DEA9C03266E}">
  <dimension ref="A1:O20"/>
  <sheetViews>
    <sheetView workbookViewId="0">
      <selection activeCell="H24" sqref="H24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2.7109375" bestFit="1" customWidth="1"/>
    <col min="6" max="6" width="11.7109375" customWidth="1"/>
    <col min="7" max="7" width="15.140625" bestFit="1" customWidth="1"/>
    <col min="8" max="10" width="11.7109375" customWidth="1"/>
    <col min="11" max="11" width="14.140625" customWidth="1"/>
    <col min="12" max="12" width="11.7109375" customWidth="1"/>
    <col min="13" max="13" width="50.5703125" customWidth="1"/>
    <col min="14" max="14" width="14.7109375" bestFit="1" customWidth="1"/>
    <col min="15" max="15" width="13.7109375" bestFit="1" customWidth="1"/>
  </cols>
  <sheetData>
    <row r="1" spans="1:15" ht="18.75" x14ac:dyDescent="0.3">
      <c r="A1" s="32" t="s">
        <v>105</v>
      </c>
    </row>
    <row r="2" spans="1:15" ht="46.5" x14ac:dyDescent="0.7">
      <c r="A2" s="183" t="s">
        <v>106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5.75" thickBot="1" x14ac:dyDescent="0.3"/>
    <row r="4" spans="1:15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86</v>
      </c>
      <c r="J4" s="82" t="s">
        <v>28</v>
      </c>
      <c r="K4" s="83" t="s">
        <v>87</v>
      </c>
      <c r="L4" s="83" t="s">
        <v>88</v>
      </c>
      <c r="M4" s="84" t="s">
        <v>89</v>
      </c>
    </row>
    <row r="5" spans="1:15" x14ac:dyDescent="0.25">
      <c r="A5" s="128" t="s">
        <v>34</v>
      </c>
      <c r="B5" s="133">
        <v>903</v>
      </c>
      <c r="C5" s="129" t="s">
        <v>41</v>
      </c>
      <c r="D5" s="133" t="s">
        <v>7</v>
      </c>
      <c r="E5" s="125">
        <v>1770773.0515718702</v>
      </c>
      <c r="F5" s="125">
        <v>227603.09900875692</v>
      </c>
      <c r="G5" s="125">
        <f t="shared" ref="G5:G13" si="0">E5-F5</f>
        <v>1543169.9525631133</v>
      </c>
      <c r="H5" s="124">
        <v>87429.516319570772</v>
      </c>
      <c r="I5" s="16">
        <v>5961.7000000000298</v>
      </c>
      <c r="J5" s="138">
        <f t="shared" ref="J5:J13" si="1">G5/H5</f>
        <v>17.650445953773172</v>
      </c>
      <c r="K5" s="135">
        <f>J5/$F$17</f>
        <v>1.0214229812781619</v>
      </c>
      <c r="L5" s="139">
        <f t="shared" ref="L5:L12" si="2">H5/I5</f>
        <v>14.665198906280144</v>
      </c>
      <c r="M5" s="131"/>
    </row>
    <row r="6" spans="1:15" ht="18" customHeight="1" x14ac:dyDescent="0.25">
      <c r="A6" s="56" t="s">
        <v>40</v>
      </c>
      <c r="B6">
        <v>903</v>
      </c>
      <c r="C6" t="s">
        <v>41</v>
      </c>
      <c r="D6" t="s">
        <v>7</v>
      </c>
      <c r="E6" s="8">
        <v>128630.20717011705</v>
      </c>
      <c r="F6" s="8">
        <v>0</v>
      </c>
      <c r="G6" s="8">
        <f t="shared" si="0"/>
        <v>128630.20717011705</v>
      </c>
      <c r="H6" s="15">
        <v>7313</v>
      </c>
      <c r="I6" s="16">
        <v>480.7</v>
      </c>
      <c r="J6" s="61">
        <f t="shared" si="1"/>
        <v>17.589252997417894</v>
      </c>
      <c r="K6" s="44">
        <f>J6/$F$17</f>
        <v>1.0178817737598176</v>
      </c>
      <c r="L6" s="100">
        <f t="shared" si="2"/>
        <v>15.213230705221552</v>
      </c>
      <c r="M6" s="45" t="s">
        <v>118</v>
      </c>
    </row>
    <row r="7" spans="1:15" x14ac:dyDescent="0.25">
      <c r="A7" s="56" t="s">
        <v>34</v>
      </c>
      <c r="B7" s="13">
        <v>904</v>
      </c>
      <c r="C7" t="s">
        <v>41</v>
      </c>
      <c r="D7" s="13" t="s">
        <v>7</v>
      </c>
      <c r="E7" s="8">
        <v>5120653.1489225607</v>
      </c>
      <c r="F7" s="8">
        <v>490702.05277110438</v>
      </c>
      <c r="G7" s="8">
        <f t="shared" si="0"/>
        <v>4629951.0961514562</v>
      </c>
      <c r="H7" s="15">
        <v>278894.98495934065</v>
      </c>
      <c r="I7" s="16">
        <v>20481.220000000012</v>
      </c>
      <c r="J7" s="61">
        <f t="shared" si="1"/>
        <v>16.601055400212537</v>
      </c>
      <c r="K7" s="44">
        <f>J7/$F$17</f>
        <v>0.96069524496202041</v>
      </c>
      <c r="L7" s="100">
        <f t="shared" si="2"/>
        <v>13.61710801208817</v>
      </c>
      <c r="M7" s="45"/>
    </row>
    <row r="8" spans="1:15" x14ac:dyDescent="0.25">
      <c r="A8" s="56" t="s">
        <v>34</v>
      </c>
      <c r="B8" s="13">
        <v>903</v>
      </c>
      <c r="C8" t="s">
        <v>41</v>
      </c>
      <c r="D8" s="13" t="s">
        <v>15</v>
      </c>
      <c r="E8" s="8">
        <v>331181.31543979549</v>
      </c>
      <c r="F8" s="8">
        <v>10364.110601183122</v>
      </c>
      <c r="G8" s="8">
        <f t="shared" si="0"/>
        <v>320817.20483861235</v>
      </c>
      <c r="H8" s="15">
        <v>17467.40144245368</v>
      </c>
      <c r="I8" s="16">
        <v>1092.75</v>
      </c>
      <c r="J8" s="61">
        <f t="shared" si="1"/>
        <v>18.366624588983314</v>
      </c>
      <c r="K8" s="44">
        <f>J8/$F$18</f>
        <v>0.95049167386061051</v>
      </c>
      <c r="L8" s="100">
        <f t="shared" si="2"/>
        <v>15.984810288221167</v>
      </c>
      <c r="M8" s="45"/>
    </row>
    <row r="9" spans="1:15" ht="15" customHeight="1" x14ac:dyDescent="0.25">
      <c r="A9" s="56" t="s">
        <v>40</v>
      </c>
      <c r="B9">
        <v>903</v>
      </c>
      <c r="C9" t="s">
        <v>41</v>
      </c>
      <c r="D9" t="s">
        <v>15</v>
      </c>
      <c r="E9" s="8">
        <v>38051.320709900814</v>
      </c>
      <c r="F9" s="8">
        <v>0</v>
      </c>
      <c r="G9" s="8">
        <f t="shared" si="0"/>
        <v>38051.320709900814</v>
      </c>
      <c r="H9" s="15">
        <v>1871</v>
      </c>
      <c r="I9" s="16">
        <v>139.80000000000001</v>
      </c>
      <c r="J9" s="61">
        <f t="shared" si="1"/>
        <v>20.337424216943248</v>
      </c>
      <c r="K9" s="44">
        <f>J9/$F$18</f>
        <v>1.0524825774231032</v>
      </c>
      <c r="L9" s="100">
        <f t="shared" si="2"/>
        <v>13.383404864091558</v>
      </c>
      <c r="M9" s="45" t="s">
        <v>118</v>
      </c>
    </row>
    <row r="10" spans="1:15" x14ac:dyDescent="0.25">
      <c r="A10" s="56" t="s">
        <v>34</v>
      </c>
      <c r="B10" s="13">
        <v>904</v>
      </c>
      <c r="C10" t="s">
        <v>41</v>
      </c>
      <c r="D10" s="13" t="s">
        <v>15</v>
      </c>
      <c r="E10" s="8">
        <v>499669.4355842676</v>
      </c>
      <c r="F10" s="8">
        <v>19410.199318433439</v>
      </c>
      <c r="G10" s="8">
        <f>E10-F10</f>
        <v>480259.23626583419</v>
      </c>
      <c r="H10" s="15">
        <v>24928.050698417443</v>
      </c>
      <c r="I10" s="16">
        <v>2009.9400000000023</v>
      </c>
      <c r="J10" s="61">
        <f>G10/H10</f>
        <v>19.265815930658526</v>
      </c>
      <c r="K10" s="44">
        <f>J10/$F$18</f>
        <v>0.99702574871628602</v>
      </c>
      <c r="L10" s="100">
        <f>H10/I10</f>
        <v>12.402385493306971</v>
      </c>
      <c r="M10" s="45"/>
    </row>
    <row r="11" spans="1:15" x14ac:dyDescent="0.25">
      <c r="A11" s="56" t="s">
        <v>34</v>
      </c>
      <c r="B11" s="13">
        <v>903</v>
      </c>
      <c r="C11" t="s">
        <v>41</v>
      </c>
      <c r="D11" s="13" t="s">
        <v>16</v>
      </c>
      <c r="E11" s="8">
        <v>373459.78124062042</v>
      </c>
      <c r="F11" s="8">
        <v>8754.2481228794841</v>
      </c>
      <c r="G11" s="8">
        <f>E11-F11</f>
        <v>364705.53311774094</v>
      </c>
      <c r="H11" s="15">
        <v>17380.148534429871</v>
      </c>
      <c r="I11" s="16">
        <v>1232.25</v>
      </c>
      <c r="J11" s="61">
        <f>G11/H11</f>
        <v>20.984028553913884</v>
      </c>
      <c r="K11" s="44">
        <f>J11/$F$19</f>
        <v>0.98995203581009039</v>
      </c>
      <c r="L11" s="100">
        <f>H11/I11</f>
        <v>14.10440132637847</v>
      </c>
      <c r="M11" s="45"/>
    </row>
    <row r="12" spans="1:15" ht="13.5" customHeight="1" x14ac:dyDescent="0.25">
      <c r="A12" s="56" t="s">
        <v>40</v>
      </c>
      <c r="B12">
        <v>903</v>
      </c>
      <c r="C12" t="s">
        <v>41</v>
      </c>
      <c r="D12" s="13" t="s">
        <v>16</v>
      </c>
      <c r="E12" s="8">
        <v>25367.550473267209</v>
      </c>
      <c r="F12" s="8">
        <v>0</v>
      </c>
      <c r="G12" s="8">
        <f t="shared" si="0"/>
        <v>25367.550473267209</v>
      </c>
      <c r="H12" s="15">
        <v>1262</v>
      </c>
      <c r="I12" s="16">
        <v>93.2</v>
      </c>
      <c r="J12" s="61">
        <f t="shared" si="1"/>
        <v>20.101070105600009</v>
      </c>
      <c r="K12" s="44">
        <f>J12/$F$19</f>
        <v>0.94829718811493668</v>
      </c>
      <c r="L12" s="100">
        <f t="shared" si="2"/>
        <v>13.540772532188841</v>
      </c>
      <c r="M12" s="45" t="s">
        <v>118</v>
      </c>
    </row>
    <row r="13" spans="1:15" ht="15.75" thickBot="1" x14ac:dyDescent="0.3">
      <c r="A13" s="60" t="s">
        <v>34</v>
      </c>
      <c r="B13" s="137">
        <v>904</v>
      </c>
      <c r="C13" s="50" t="s">
        <v>41</v>
      </c>
      <c r="D13" s="137" t="s">
        <v>16</v>
      </c>
      <c r="E13" s="65">
        <v>516312.38720110065</v>
      </c>
      <c r="F13" s="65">
        <v>15424.542391693514</v>
      </c>
      <c r="G13" s="65">
        <f t="shared" si="0"/>
        <v>500887.84480940714</v>
      </c>
      <c r="H13" s="118">
        <v>22255.798985206242</v>
      </c>
      <c r="I13" s="123">
        <v>2072.8700000000022</v>
      </c>
      <c r="J13" s="71">
        <f t="shared" si="1"/>
        <v>22.505947557414348</v>
      </c>
      <c r="K13" s="52">
        <f>J13/$F$19</f>
        <v>1.0617507760749734</v>
      </c>
      <c r="L13" s="140">
        <f>H13/I13</f>
        <v>10.736707552912733</v>
      </c>
      <c r="M13" s="54"/>
    </row>
    <row r="14" spans="1:15" x14ac:dyDescent="0.25">
      <c r="B14" s="13"/>
      <c r="D14" s="13"/>
      <c r="E14" s="9"/>
      <c r="F14" s="14"/>
      <c r="G14" s="9"/>
      <c r="H14" s="15"/>
      <c r="I14" s="16"/>
      <c r="J14" s="61"/>
      <c r="K14" s="61"/>
      <c r="L14" s="61"/>
    </row>
    <row r="15" spans="1:15" ht="15.75" thickBot="1" x14ac:dyDescent="0.3">
      <c r="O15" s="1"/>
    </row>
    <row r="16" spans="1:15" ht="48" x14ac:dyDescent="0.25">
      <c r="D16" s="168" t="s">
        <v>123</v>
      </c>
      <c r="E16" s="55" t="s">
        <v>90</v>
      </c>
      <c r="F16" s="69" t="s">
        <v>91</v>
      </c>
      <c r="G16" s="69" t="s">
        <v>92</v>
      </c>
      <c r="H16" s="69" t="s">
        <v>93</v>
      </c>
      <c r="I16" s="70" t="s">
        <v>94</v>
      </c>
      <c r="J16" s="175" t="s">
        <v>122</v>
      </c>
    </row>
    <row r="17" spans="4:10" x14ac:dyDescent="0.25">
      <c r="D17" s="164">
        <f>COUNTIF($D$5:$D$13, "Weekday")</f>
        <v>3</v>
      </c>
      <c r="E17" s="90" t="s">
        <v>7</v>
      </c>
      <c r="F17" s="91">
        <f>AVERAGEIF($D$5:$D$13,"Weekday",J5:J13)</f>
        <v>17.280251450467869</v>
      </c>
      <c r="G17" s="92">
        <f>F17*1.2</f>
        <v>20.736301740561441</v>
      </c>
      <c r="H17" s="93">
        <f>F17*1.35</f>
        <v>23.328339458131623</v>
      </c>
      <c r="I17" s="94">
        <f>F17*1.6</f>
        <v>27.648402320748591</v>
      </c>
      <c r="J17" s="176">
        <f>+SUMIF($D$5:$D$13,"Weekday",$G$5:$G$13)/SUMIF($D$5:$D$13,"Weekday",$H$5:$H$13)</f>
        <v>16.865949574961377</v>
      </c>
    </row>
    <row r="18" spans="4:10" x14ac:dyDescent="0.25">
      <c r="D18" s="164">
        <f>COUNTIF($D$5:$D$13, "Saturday")</f>
        <v>3</v>
      </c>
      <c r="E18" s="90" t="s">
        <v>15</v>
      </c>
      <c r="F18" s="91">
        <f>AVERAGEIF($D$5:$D$13,"Saturday",J5:J13)</f>
        <v>19.323288245528364</v>
      </c>
      <c r="G18" s="92">
        <f>F18*1.2</f>
        <v>23.187945894634037</v>
      </c>
      <c r="H18" s="93">
        <f>F18*1.35</f>
        <v>26.086439131463294</v>
      </c>
      <c r="I18" s="94">
        <f>F18*1.6</f>
        <v>30.917261192845384</v>
      </c>
      <c r="J18" s="176">
        <f>+SUMIF($D$5:$D$13,"saturday",$G$5:$G$13)/SUMIF($D$5:$D$13,"saturday",$H$5:$H$13)</f>
        <v>18.956291304845333</v>
      </c>
    </row>
    <row r="19" spans="4:10" ht="15.75" thickBot="1" x14ac:dyDescent="0.3">
      <c r="D19" s="165">
        <f>COUNTIF($D$5:$D$13, "Sunday")</f>
        <v>3</v>
      </c>
      <c r="E19" s="90" t="s">
        <v>16</v>
      </c>
      <c r="F19" s="182">
        <f>AVERAGEIF($D$5:$D$13,"Sunday",J5:J13)</f>
        <v>21.197015405642745</v>
      </c>
      <c r="G19" s="92">
        <f>F19*1.2</f>
        <v>25.436418486771291</v>
      </c>
      <c r="H19" s="93">
        <f>F19*1.35</f>
        <v>28.615970797617706</v>
      </c>
      <c r="I19" s="94">
        <f>F19*1.6</f>
        <v>33.915224649028396</v>
      </c>
      <c r="J19" s="176">
        <f>+SUMIF($D$5:$D$13,"Sunday",$G$5:$G$13)/SUMIF($D$5:$D$13,"Sunday",$H$5:$H$13)</f>
        <v>21.784979013253487</v>
      </c>
    </row>
    <row r="20" spans="4:10" ht="15.75" thickBot="1" x14ac:dyDescent="0.3">
      <c r="E20" s="160" t="s">
        <v>119</v>
      </c>
      <c r="F20" s="180">
        <v>25</v>
      </c>
      <c r="G20" s="158"/>
      <c r="H20" s="158"/>
      <c r="I20" s="159"/>
      <c r="J20" s="177">
        <f>+SUM($G$5:$G$13)/SUM($H$5:$H$13)</f>
        <v>17.506117410703567</v>
      </c>
    </row>
  </sheetData>
  <sortState xmlns:xlrd2="http://schemas.microsoft.com/office/spreadsheetml/2017/richdata2" ref="A5:M13">
    <sortCondition ref="D5:D13" customList="Weekday,Wk,Saturday,Sat,Sunday,Sun,Sunday/Holiday,Sunday / Holiday,Reduced"/>
    <sortCondition ref="B5:B13"/>
  </sortState>
  <mergeCells count="1">
    <mergeCell ref="A2:M2"/>
  </mergeCells>
  <conditionalFormatting sqref="H8">
    <cfRule type="expression" dxfId="22" priority="9">
      <formula>(ROW(H8)-1)/3=ROUND((ROW(H8)-1)/3,0)</formula>
    </cfRule>
  </conditionalFormatting>
  <conditionalFormatting sqref="H10:H11">
    <cfRule type="expression" dxfId="21" priority="5">
      <formula>(ROW(H10)-1)/3=ROUND((ROW(H10)-1)/3,0)</formula>
    </cfRule>
  </conditionalFormatting>
  <conditionalFormatting sqref="I5">
    <cfRule type="expression" dxfId="20" priority="4">
      <formula>(ROW(I5)-1)/3=ROUND((ROW(I5)-1)/3,0)</formula>
    </cfRule>
  </conditionalFormatting>
  <conditionalFormatting sqref="I7:I8">
    <cfRule type="expression" dxfId="19" priority="2">
      <formula>(ROW(I7)-1)/3=ROUND((ROW(I7)-1)/3,0)</formula>
    </cfRule>
  </conditionalFormatting>
  <conditionalFormatting sqref="I10">
    <cfRule type="expression" dxfId="18" priority="1">
      <formula>(ROW(I10)-1)/3=ROUND((ROW(I10)-1)/3,0)</formula>
    </cfRule>
  </conditionalFormatting>
  <conditionalFormatting sqref="K1">
    <cfRule type="cellIs" dxfId="17" priority="11" operator="greaterThan">
      <formula>1.6</formula>
    </cfRule>
  </conditionalFormatting>
  <conditionalFormatting sqref="L5:L13">
    <cfRule type="cellIs" dxfId="16" priority="22" operator="lessThan">
      <formula>$F$20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B07E-1B53-44D5-AA4B-8722C5B28026}">
  <dimension ref="A1:Q17"/>
  <sheetViews>
    <sheetView topLeftCell="A2" workbookViewId="0">
      <selection activeCell="G13" sqref="G13:J17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5" width="13.85546875" bestFit="1" customWidth="1"/>
    <col min="6" max="6" width="15.140625" bestFit="1" customWidth="1"/>
    <col min="7" max="7" width="13.8554687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6" width="14.85546875" bestFit="1" customWidth="1"/>
  </cols>
  <sheetData>
    <row r="1" spans="1:17" ht="18.75" x14ac:dyDescent="0.3">
      <c r="A1" s="32" t="s">
        <v>107</v>
      </c>
    </row>
    <row r="2" spans="1:17" ht="46.5" x14ac:dyDescent="0.7">
      <c r="A2" s="183" t="s">
        <v>108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7" ht="15.75" thickBot="1" x14ac:dyDescent="0.3"/>
    <row r="4" spans="1:17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86</v>
      </c>
      <c r="J4" s="82" t="s">
        <v>28</v>
      </c>
      <c r="K4" s="83" t="s">
        <v>87</v>
      </c>
      <c r="L4" s="83" t="s">
        <v>88</v>
      </c>
      <c r="M4" s="84" t="s">
        <v>89</v>
      </c>
    </row>
    <row r="5" spans="1:17" x14ac:dyDescent="0.25">
      <c r="A5" s="128" t="s">
        <v>34</v>
      </c>
      <c r="B5" s="133" t="s">
        <v>38</v>
      </c>
      <c r="C5" s="129" t="s">
        <v>59</v>
      </c>
      <c r="D5" s="133" t="s">
        <v>7</v>
      </c>
      <c r="E5" s="125">
        <v>28785514.954203244</v>
      </c>
      <c r="F5" s="125">
        <v>3281814.5896480251</v>
      </c>
      <c r="G5" s="125">
        <f t="shared" ref="G5:G10" si="0">E5-F5</f>
        <v>25503700.364555217</v>
      </c>
      <c r="H5" s="124">
        <v>3759408</v>
      </c>
      <c r="I5" s="134">
        <v>27208.669999999922</v>
      </c>
      <c r="J5" s="138">
        <f t="shared" ref="J5:J10" si="1">G5/H5</f>
        <v>6.7839671471027403</v>
      </c>
      <c r="K5" s="135">
        <f>J5/$F$14</f>
        <v>1.1571750222875337</v>
      </c>
      <c r="L5" s="139">
        <f t="shared" ref="L5:L10" si="2">H5/I5</f>
        <v>138.16948788750096</v>
      </c>
      <c r="M5" s="131"/>
    </row>
    <row r="6" spans="1:17" x14ac:dyDescent="0.25">
      <c r="A6" s="56" t="s">
        <v>34</v>
      </c>
      <c r="B6" s="13" t="s">
        <v>39</v>
      </c>
      <c r="C6" t="s">
        <v>59</v>
      </c>
      <c r="D6" s="13" t="s">
        <v>7</v>
      </c>
      <c r="E6" s="8">
        <v>30590044.805197511</v>
      </c>
      <c r="F6" s="8">
        <v>4684617.6290918551</v>
      </c>
      <c r="G6" s="8">
        <f t="shared" si="0"/>
        <v>25905427.176105656</v>
      </c>
      <c r="H6" s="15">
        <v>5242865</v>
      </c>
      <c r="I6" s="16">
        <v>31998.199999999983</v>
      </c>
      <c r="J6" s="61">
        <f t="shared" si="1"/>
        <v>4.9410822472265936</v>
      </c>
      <c r="K6" s="44">
        <f>J6/$F$14</f>
        <v>0.84282497771246634</v>
      </c>
      <c r="L6" s="100">
        <f t="shared" si="2"/>
        <v>163.84874774206057</v>
      </c>
      <c r="M6" s="45"/>
    </row>
    <row r="7" spans="1:17" x14ac:dyDescent="0.25">
      <c r="A7" s="56" t="s">
        <v>34</v>
      </c>
      <c r="B7" t="s">
        <v>38</v>
      </c>
      <c r="C7" t="s">
        <v>59</v>
      </c>
      <c r="D7" t="s">
        <v>15</v>
      </c>
      <c r="E7" s="8">
        <v>5685832.1465178253</v>
      </c>
      <c r="F7" s="8">
        <v>694834.63520307583</v>
      </c>
      <c r="G7" s="8">
        <f t="shared" si="0"/>
        <v>4990997.5113147497</v>
      </c>
      <c r="H7" s="15">
        <v>795952</v>
      </c>
      <c r="I7" s="16">
        <v>5394.6100000000006</v>
      </c>
      <c r="J7" s="61">
        <f t="shared" si="1"/>
        <v>6.2704754951488901</v>
      </c>
      <c r="K7" s="44">
        <f>J7/$F$15</f>
        <v>1.0214720815143417</v>
      </c>
      <c r="L7" s="100">
        <f t="shared" si="2"/>
        <v>147.54579107664873</v>
      </c>
      <c r="M7" s="114"/>
    </row>
    <row r="8" spans="1:17" x14ac:dyDescent="0.25">
      <c r="A8" s="56" t="s">
        <v>34</v>
      </c>
      <c r="B8" s="13" t="s">
        <v>39</v>
      </c>
      <c r="C8" t="s">
        <v>59</v>
      </c>
      <c r="D8" s="13" t="s">
        <v>15</v>
      </c>
      <c r="E8" s="8">
        <v>6170442.3034944655</v>
      </c>
      <c r="F8" s="8">
        <v>799003.86659798806</v>
      </c>
      <c r="G8" s="8">
        <f t="shared" si="0"/>
        <v>5371438.4368964778</v>
      </c>
      <c r="H8" s="15">
        <v>894218</v>
      </c>
      <c r="I8" s="16">
        <v>6429.399999999996</v>
      </c>
      <c r="J8" s="61">
        <f t="shared" si="1"/>
        <v>6.0068556402314401</v>
      </c>
      <c r="K8" s="44">
        <f>J8/$F$15</f>
        <v>0.97852791848565857</v>
      </c>
      <c r="L8" s="100">
        <f t="shared" si="2"/>
        <v>139.08265156935337</v>
      </c>
      <c r="M8" s="45"/>
    </row>
    <row r="9" spans="1:17" x14ac:dyDescent="0.25">
      <c r="A9" s="56" t="s">
        <v>34</v>
      </c>
      <c r="B9" s="13" t="s">
        <v>38</v>
      </c>
      <c r="C9" t="s">
        <v>59</v>
      </c>
      <c r="D9" s="13" t="s">
        <v>16</v>
      </c>
      <c r="E9" s="8">
        <v>6246060.3981815418</v>
      </c>
      <c r="F9" s="8">
        <v>747772.70426752314</v>
      </c>
      <c r="G9" s="8">
        <f t="shared" si="0"/>
        <v>5498287.6939140186</v>
      </c>
      <c r="H9" s="15">
        <v>856594</v>
      </c>
      <c r="I9" s="16">
        <v>5933</v>
      </c>
      <c r="J9" s="61">
        <f t="shared" si="1"/>
        <v>6.4187791344721283</v>
      </c>
      <c r="K9" s="44">
        <f>J9/$F$16</f>
        <v>0.92917965105645328</v>
      </c>
      <c r="L9" s="100">
        <f t="shared" si="2"/>
        <v>144.37788639811225</v>
      </c>
      <c r="M9" s="45"/>
    </row>
    <row r="10" spans="1:17" ht="15.75" thickBot="1" x14ac:dyDescent="0.3">
      <c r="A10" s="60" t="s">
        <v>34</v>
      </c>
      <c r="B10" s="137" t="s">
        <v>39</v>
      </c>
      <c r="C10" s="50" t="s">
        <v>59</v>
      </c>
      <c r="D10" s="137" t="s">
        <v>16</v>
      </c>
      <c r="E10" s="65">
        <v>6778481.0324054072</v>
      </c>
      <c r="F10" s="65">
        <v>730539.49519153277</v>
      </c>
      <c r="G10" s="65">
        <f t="shared" si="0"/>
        <v>6047941.537213874</v>
      </c>
      <c r="H10" s="118">
        <v>817595</v>
      </c>
      <c r="I10" s="123">
        <v>7063</v>
      </c>
      <c r="J10" s="71">
        <f t="shared" si="1"/>
        <v>7.3972340060957738</v>
      </c>
      <c r="K10" s="52">
        <f>J10/$F$16</f>
        <v>1.0708203489435466</v>
      </c>
      <c r="L10" s="140">
        <f t="shared" si="2"/>
        <v>115.75746849780546</v>
      </c>
      <c r="M10" s="54"/>
      <c r="N10" s="3"/>
      <c r="O10" s="3"/>
      <c r="P10" s="3"/>
      <c r="Q10" s="3"/>
    </row>
    <row r="11" spans="1:17" x14ac:dyDescent="0.25">
      <c r="N11" s="47"/>
      <c r="O11" s="48"/>
      <c r="P11" s="47"/>
      <c r="Q11" s="49"/>
    </row>
    <row r="12" spans="1:17" ht="15.75" thickBot="1" x14ac:dyDescent="0.3">
      <c r="N12" s="47"/>
      <c r="O12" s="48"/>
      <c r="P12" s="47"/>
      <c r="Q12" s="49"/>
    </row>
    <row r="13" spans="1:17" ht="48" x14ac:dyDescent="0.25">
      <c r="D13" s="168" t="s">
        <v>123</v>
      </c>
      <c r="E13" s="55" t="s">
        <v>90</v>
      </c>
      <c r="F13" s="69" t="s">
        <v>91</v>
      </c>
      <c r="G13" s="69" t="s">
        <v>92</v>
      </c>
      <c r="H13" s="69" t="s">
        <v>93</v>
      </c>
      <c r="I13" s="70" t="s">
        <v>94</v>
      </c>
      <c r="J13" s="175" t="s">
        <v>122</v>
      </c>
      <c r="N13" s="47"/>
      <c r="O13" s="48"/>
      <c r="P13" s="47"/>
    </row>
    <row r="14" spans="1:17" x14ac:dyDescent="0.25">
      <c r="D14" s="164">
        <f>COUNTIF($D$5:$D$10, "Weekday")</f>
        <v>2</v>
      </c>
      <c r="E14" s="90" t="s">
        <v>7</v>
      </c>
      <c r="F14" s="91">
        <f>AVERAGEIF($D$5:$D$10,"Weekday",J5:J10)</f>
        <v>5.862524697164667</v>
      </c>
      <c r="G14" s="92">
        <f>F14*1.2</f>
        <v>7.0350296365976002</v>
      </c>
      <c r="H14" s="93">
        <f>F14*1.35</f>
        <v>7.914408341172301</v>
      </c>
      <c r="I14" s="94">
        <f>F14*1.6</f>
        <v>9.3800395154634675</v>
      </c>
      <c r="J14" s="176">
        <f>+SUMIF($D$5:$D$10,"Weekday",$G$5:$G$10)/SUMIF($D$5:$D$10,"Weekday",$H$5:$H$10)</f>
        <v>5.7106830175735475</v>
      </c>
    </row>
    <row r="15" spans="1:17" x14ac:dyDescent="0.25">
      <c r="D15" s="164">
        <f>COUNTIF($D$5:$D$10, "Saturday")</f>
        <v>2</v>
      </c>
      <c r="E15" s="90" t="s">
        <v>15</v>
      </c>
      <c r="F15" s="91">
        <f>AVERAGEIF($D$5:$D$10,"Saturday",J5:J10)</f>
        <v>6.1386655676901647</v>
      </c>
      <c r="G15" s="92">
        <f>F15*1.2</f>
        <v>7.3663986812281976</v>
      </c>
      <c r="H15" s="93">
        <f>F15*1.35</f>
        <v>8.2871985163817232</v>
      </c>
      <c r="I15" s="94">
        <f>F15*1.6</f>
        <v>9.8218649083042635</v>
      </c>
      <c r="J15" s="176">
        <f>+SUMIF($D$5:$D$10,"saturday",$G$5:$G$10)/SUMIF($D$5:$D$10,"saturday",$H$5:$H$10)</f>
        <v>6.1310021762374358</v>
      </c>
    </row>
    <row r="16" spans="1:17" ht="15.75" thickBot="1" x14ac:dyDescent="0.3">
      <c r="D16" s="165">
        <f>COUNTIF($D$5:$D$10, "Sunday")</f>
        <v>2</v>
      </c>
      <c r="E16" s="90" t="s">
        <v>16</v>
      </c>
      <c r="F16" s="182">
        <f>AVERAGEIF($D$5:$D$10,"Sunday",J5:J10)</f>
        <v>6.908006570283951</v>
      </c>
      <c r="G16" s="92">
        <f>F16*1.2</f>
        <v>8.2896078843407413</v>
      </c>
      <c r="H16" s="93">
        <f>F16*1.35</f>
        <v>9.3258088698833337</v>
      </c>
      <c r="I16" s="94">
        <f>F16*1.6</f>
        <v>11.052810512454322</v>
      </c>
      <c r="J16" s="176">
        <f>+SUMIF($D$5:$D$10,"Sunday",$G$5:$G$10)/SUMIF($D$5:$D$10,"Sunday",$H$5:$H$10)</f>
        <v>6.896610377399381</v>
      </c>
    </row>
    <row r="17" spans="5:10" ht="15.75" thickBot="1" x14ac:dyDescent="0.3">
      <c r="E17" s="160" t="s">
        <v>119</v>
      </c>
      <c r="F17" s="180">
        <v>70</v>
      </c>
      <c r="G17" s="158"/>
      <c r="H17" s="158"/>
      <c r="I17" s="159"/>
      <c r="J17" s="177">
        <f>+SUM($G$5:$G$10)/SUM($H$5:$H$10)</f>
        <v>5.9286791035748454</v>
      </c>
    </row>
  </sheetData>
  <sortState xmlns:xlrd2="http://schemas.microsoft.com/office/spreadsheetml/2017/richdata2" ref="A5:M10">
    <sortCondition ref="D5:D10" customList="Weekday,Wk,Saturday,Sat,Sunday,Sun,Sunday/Holiday,Sunday / Holiday,Reduced"/>
    <sortCondition ref="B5:B10"/>
  </sortState>
  <mergeCells count="1">
    <mergeCell ref="A2:M2"/>
  </mergeCells>
  <conditionalFormatting sqref="K1">
    <cfRule type="cellIs" dxfId="15" priority="5" operator="greaterThan">
      <formula>1.6</formula>
    </cfRule>
  </conditionalFormatting>
  <conditionalFormatting sqref="L5:L10">
    <cfRule type="cellIs" dxfId="14" priority="20" operator="lessThan">
      <formula>$F$17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1C5-C99A-4EE2-AB84-D695D8BC4C22}">
  <dimension ref="A1:M14"/>
  <sheetViews>
    <sheetView workbookViewId="0">
      <selection activeCell="E24" sqref="E24"/>
    </sheetView>
  </sheetViews>
  <sheetFormatPr defaultRowHeight="15" x14ac:dyDescent="0.25"/>
  <cols>
    <col min="1" max="1" width="20.7109375" customWidth="1"/>
    <col min="2" max="2" width="8.7109375" customWidth="1"/>
    <col min="3" max="3" width="20.7109375" customWidth="1"/>
    <col min="4" max="4" width="10.7109375" customWidth="1"/>
    <col min="5" max="5" width="12.7109375" bestFit="1" customWidth="1"/>
    <col min="6" max="6" width="15.140625" bestFit="1" customWidth="1"/>
    <col min="7" max="7" width="13.5703125" bestFit="1" customWidth="1"/>
    <col min="8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32" t="s">
        <v>109</v>
      </c>
    </row>
    <row r="2" spans="1:13" ht="46.5" x14ac:dyDescent="0.7">
      <c r="A2" s="183" t="s">
        <v>110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5.75" thickBot="1" x14ac:dyDescent="0.3"/>
    <row r="4" spans="1:13" ht="48" x14ac:dyDescent="0.25">
      <c r="A4" s="36" t="s">
        <v>10</v>
      </c>
      <c r="B4" s="37" t="s">
        <v>82</v>
      </c>
      <c r="C4" s="38" t="s">
        <v>1</v>
      </c>
      <c r="D4" s="38" t="s">
        <v>2</v>
      </c>
      <c r="E4" s="39" t="s">
        <v>3</v>
      </c>
      <c r="F4" s="39" t="s">
        <v>83</v>
      </c>
      <c r="G4" s="39" t="s">
        <v>84</v>
      </c>
      <c r="H4" s="41" t="s">
        <v>85</v>
      </c>
      <c r="I4" s="41" t="s">
        <v>86</v>
      </c>
      <c r="J4" s="42" t="s">
        <v>28</v>
      </c>
      <c r="K4" s="43" t="s">
        <v>87</v>
      </c>
      <c r="L4" s="43" t="s">
        <v>88</v>
      </c>
      <c r="M4" s="67" t="s">
        <v>89</v>
      </c>
    </row>
    <row r="5" spans="1:13" ht="15.75" thickBot="1" x14ac:dyDescent="0.3">
      <c r="A5" s="101" t="s">
        <v>34</v>
      </c>
      <c r="B5" s="102">
        <v>888</v>
      </c>
      <c r="C5" s="101" t="s">
        <v>43</v>
      </c>
      <c r="D5" s="102" t="s">
        <v>7</v>
      </c>
      <c r="E5" s="109">
        <v>11650105.060000001</v>
      </c>
      <c r="F5" s="109">
        <v>258108.61000000002</v>
      </c>
      <c r="G5" s="109">
        <f>E5-F5</f>
        <v>11391996.450000001</v>
      </c>
      <c r="H5" s="104">
        <v>77076.800000000003</v>
      </c>
      <c r="I5" s="105">
        <v>444.16000000000145</v>
      </c>
      <c r="J5" s="103">
        <f>G5/H5</f>
        <v>147.80058915263737</v>
      </c>
      <c r="K5" s="106">
        <v>1</v>
      </c>
      <c r="L5" s="107">
        <f>H5/I5</f>
        <v>173.53386167146917</v>
      </c>
      <c r="M5" s="108"/>
    </row>
    <row r="9" spans="1:13" ht="15.75" thickBot="1" x14ac:dyDescent="0.3"/>
    <row r="10" spans="1:13" ht="36" x14ac:dyDescent="0.25">
      <c r="D10" s="168" t="s">
        <v>123</v>
      </c>
      <c r="E10" s="169"/>
      <c r="F10" s="55" t="s">
        <v>90</v>
      </c>
      <c r="G10" s="69" t="s">
        <v>91</v>
      </c>
      <c r="H10" s="69" t="s">
        <v>92</v>
      </c>
      <c r="I10" s="69" t="s">
        <v>93</v>
      </c>
      <c r="J10" s="70" t="s">
        <v>94</v>
      </c>
      <c r="K10" s="175" t="s">
        <v>122</v>
      </c>
    </row>
    <row r="11" spans="1:13" x14ac:dyDescent="0.25">
      <c r="D11" s="164">
        <f>COUNTIF($D$5, "Weekday")</f>
        <v>1</v>
      </c>
      <c r="E11" s="45"/>
      <c r="F11" s="90" t="s">
        <v>7</v>
      </c>
      <c r="G11" s="91">
        <f>AVERAGEIF($D$5,"Weekday",J5)</f>
        <v>147.80058915263737</v>
      </c>
      <c r="H11" s="92">
        <f>G11*1.2</f>
        <v>177.36070698316485</v>
      </c>
      <c r="I11" s="93">
        <f>G11*1.35</f>
        <v>199.53079535606045</v>
      </c>
      <c r="J11" s="94">
        <f>G11*1.6</f>
        <v>236.48094264421979</v>
      </c>
      <c r="K11" s="176">
        <f>+SUMIF($D$5,"Weekday",$G$5)/SUMIF($D$5,"Weekday",$H$5)</f>
        <v>147.80058915263737</v>
      </c>
    </row>
    <row r="12" spans="1:13" x14ac:dyDescent="0.25">
      <c r="D12" s="164">
        <f>COUNTIF($D$5, "Saturday")</f>
        <v>0</v>
      </c>
      <c r="E12" s="45"/>
      <c r="F12" s="90" t="s">
        <v>15</v>
      </c>
      <c r="G12" s="91" t="e">
        <f>AVERAGEIF($D$5:$D$9,"Saturday",J3:J8)</f>
        <v>#DIV/0!</v>
      </c>
      <c r="H12" s="92" t="e">
        <f>G12*1.2</f>
        <v>#DIV/0!</v>
      </c>
      <c r="I12" s="93" t="e">
        <f>G12*1.35</f>
        <v>#DIV/0!</v>
      </c>
      <c r="J12" s="94" t="e">
        <f>G12*1.6</f>
        <v>#DIV/0!</v>
      </c>
      <c r="K12" s="176" t="e">
        <f>+SUMIF($D$5,"saturday",$G$5)/SUMIF($D$5,"saturday",$H$5)</f>
        <v>#DIV/0!</v>
      </c>
    </row>
    <row r="13" spans="1:13" ht="15.75" thickBot="1" x14ac:dyDescent="0.3">
      <c r="D13" s="165">
        <f>COUNTIF($D$5, "Sunday")</f>
        <v>0</v>
      </c>
      <c r="E13" s="54"/>
      <c r="F13" s="95" t="s">
        <v>16</v>
      </c>
      <c r="G13" s="96" t="e">
        <f>AVERAGEIF($D$5:$D$9,"Sunday",J3:J8)</f>
        <v>#DIV/0!</v>
      </c>
      <c r="H13" s="97" t="e">
        <f>G13*1.2</f>
        <v>#DIV/0!</v>
      </c>
      <c r="I13" s="98" t="e">
        <f>G13*1.35</f>
        <v>#DIV/0!</v>
      </c>
      <c r="J13" s="99" t="e">
        <f>G13*1.6</f>
        <v>#DIV/0!</v>
      </c>
      <c r="K13" s="177" t="e">
        <f>+SUMIF($D$5,"Sunday",$G$5)/SUMIF($D$5,"Sunday",$H$5)</f>
        <v>#DIV/0!</v>
      </c>
    </row>
    <row r="14" spans="1:13" ht="15.75" thickBot="1" x14ac:dyDescent="0.3">
      <c r="F14" s="160" t="s">
        <v>119</v>
      </c>
      <c r="G14" s="180">
        <v>70</v>
      </c>
      <c r="H14" s="158"/>
      <c r="I14" s="158"/>
      <c r="J14" s="159"/>
      <c r="K14" s="177">
        <f>+SUM($G$5)/SUM($H$5)</f>
        <v>147.80058915263737</v>
      </c>
    </row>
  </sheetData>
  <mergeCells count="1">
    <mergeCell ref="A2:M2"/>
  </mergeCells>
  <conditionalFormatting sqref="K1">
    <cfRule type="cellIs" dxfId="13" priority="2" operator="greaterThan">
      <formula>1.6</formula>
    </cfRule>
  </conditionalFormatting>
  <conditionalFormatting sqref="L5">
    <cfRule type="cellIs" dxfId="12" priority="15" operator="lessThan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36E6-FDBF-4BB8-A6F8-7E72BCBE2BBB}">
  <dimension ref="A1:N22"/>
  <sheetViews>
    <sheetView topLeftCell="B1" workbookViewId="0">
      <selection activeCell="F25" sqref="F25"/>
    </sheetView>
  </sheetViews>
  <sheetFormatPr defaultRowHeight="15" x14ac:dyDescent="0.25"/>
  <cols>
    <col min="1" max="2" width="20.7109375" customWidth="1"/>
    <col min="3" max="3" width="23.5703125" bestFit="1" customWidth="1"/>
    <col min="4" max="4" width="13.28515625" customWidth="1"/>
    <col min="5" max="5" width="14.28515625" bestFit="1" customWidth="1"/>
    <col min="6" max="6" width="15.140625" bestFit="1" customWidth="1"/>
    <col min="7" max="7" width="12.42578125" customWidth="1"/>
    <col min="8" max="10" width="11.7109375" customWidth="1"/>
    <col min="11" max="11" width="14.28515625" bestFit="1" customWidth="1"/>
    <col min="12" max="12" width="11.7109375" customWidth="1"/>
    <col min="13" max="13" width="44.7109375" style="31" customWidth="1"/>
  </cols>
  <sheetData>
    <row r="1" spans="1:13" ht="18.75" x14ac:dyDescent="0.3">
      <c r="A1" s="32" t="s">
        <v>111</v>
      </c>
    </row>
    <row r="2" spans="1:13" ht="46.5" x14ac:dyDescent="0.7">
      <c r="A2" s="183" t="s">
        <v>112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5.75" thickBot="1" x14ac:dyDescent="0.3"/>
    <row r="4" spans="1:13" ht="48.75" thickBot="1" x14ac:dyDescent="0.3">
      <c r="A4" s="76" t="s">
        <v>10</v>
      </c>
      <c r="B4" s="77" t="s">
        <v>82</v>
      </c>
      <c r="C4" s="78" t="s">
        <v>1</v>
      </c>
      <c r="D4" s="78" t="s">
        <v>2</v>
      </c>
      <c r="E4" s="79" t="s">
        <v>3</v>
      </c>
      <c r="F4" s="80" t="s">
        <v>83</v>
      </c>
      <c r="G4" s="79" t="s">
        <v>84</v>
      </c>
      <c r="H4" s="81" t="s">
        <v>85</v>
      </c>
      <c r="I4" s="81" t="s">
        <v>86</v>
      </c>
      <c r="J4" s="82" t="s">
        <v>28</v>
      </c>
      <c r="K4" s="83" t="s">
        <v>87</v>
      </c>
      <c r="L4" s="83" t="s">
        <v>88</v>
      </c>
      <c r="M4" s="113" t="s">
        <v>89</v>
      </c>
    </row>
    <row r="5" spans="1:13" ht="15.75" x14ac:dyDescent="0.25">
      <c r="A5" s="128" t="s">
        <v>17</v>
      </c>
      <c r="B5" s="141" t="s">
        <v>18</v>
      </c>
      <c r="C5" s="129" t="s">
        <v>14</v>
      </c>
      <c r="D5" s="141" t="s">
        <v>7</v>
      </c>
      <c r="E5" s="124">
        <v>1038784.0577838204</v>
      </c>
      <c r="F5" s="143">
        <v>74128.50940000001</v>
      </c>
      <c r="G5" s="130">
        <f t="shared" ref="G5:G15" si="0">+E5-F5</f>
        <v>964655.54838382045</v>
      </c>
      <c r="H5" s="161">
        <v>30104</v>
      </c>
      <c r="I5" s="134">
        <v>10447</v>
      </c>
      <c r="J5" s="85">
        <f t="shared" ref="J5:J15" si="1">G5/H5</f>
        <v>32.044098737171822</v>
      </c>
      <c r="K5" s="135">
        <f>J5/$F$19</f>
        <v>0.80481794740214863</v>
      </c>
      <c r="L5" s="87">
        <f t="shared" ref="L5:L15" si="2">H5/I5</f>
        <v>2.8815928017612711</v>
      </c>
      <c r="M5" s="132"/>
    </row>
    <row r="6" spans="1:13" ht="30" x14ac:dyDescent="0.25">
      <c r="A6" s="56" t="s">
        <v>40</v>
      </c>
      <c r="B6" t="s">
        <v>33</v>
      </c>
      <c r="C6" t="s">
        <v>14</v>
      </c>
      <c r="D6" t="s">
        <v>7</v>
      </c>
      <c r="E6" s="15">
        <v>219396.26940639268</v>
      </c>
      <c r="F6" s="15">
        <v>0</v>
      </c>
      <c r="G6" s="12">
        <f t="shared" si="0"/>
        <v>219396.26940639268</v>
      </c>
      <c r="H6" s="12">
        <v>3463</v>
      </c>
      <c r="I6" s="16">
        <v>1778</v>
      </c>
      <c r="J6" s="9">
        <f t="shared" si="1"/>
        <v>63.354394861794013</v>
      </c>
      <c r="K6" s="44">
        <f>J6/$F$19</f>
        <v>1.5912057458625375</v>
      </c>
      <c r="L6" s="11">
        <f t="shared" si="2"/>
        <v>1.9476940382452193</v>
      </c>
      <c r="M6" s="114" t="s">
        <v>127</v>
      </c>
    </row>
    <row r="7" spans="1:13" x14ac:dyDescent="0.25">
      <c r="A7" s="56" t="s">
        <v>40</v>
      </c>
      <c r="B7" t="s">
        <v>27</v>
      </c>
      <c r="C7" t="s">
        <v>14</v>
      </c>
      <c r="D7" t="s">
        <v>7</v>
      </c>
      <c r="E7" s="15">
        <v>8387642</v>
      </c>
      <c r="F7" s="15">
        <v>530346</v>
      </c>
      <c r="G7" s="8">
        <f t="shared" si="0"/>
        <v>7857296</v>
      </c>
      <c r="H7" s="15">
        <v>122835</v>
      </c>
      <c r="I7" s="16">
        <v>85548</v>
      </c>
      <c r="J7" s="9">
        <f t="shared" si="1"/>
        <v>63.966263687059879</v>
      </c>
      <c r="K7" s="44">
        <f>J7/$F$19</f>
        <v>1.606573412029993</v>
      </c>
      <c r="L7" s="11">
        <f t="shared" si="2"/>
        <v>1.4358605695048394</v>
      </c>
      <c r="M7" s="114"/>
    </row>
    <row r="8" spans="1:13" ht="15.75" x14ac:dyDescent="0.25">
      <c r="A8" s="56" t="s">
        <v>56</v>
      </c>
      <c r="B8" s="181" t="s">
        <v>53</v>
      </c>
      <c r="C8" t="s">
        <v>14</v>
      </c>
      <c r="D8" t="s">
        <v>7</v>
      </c>
      <c r="E8" s="15">
        <v>1701668.4914605655</v>
      </c>
      <c r="F8" s="15">
        <v>380980.76</v>
      </c>
      <c r="G8" s="8">
        <f t="shared" si="0"/>
        <v>1320687.7314605655</v>
      </c>
      <c r="H8" s="15">
        <v>100431</v>
      </c>
      <c r="I8" s="16">
        <v>41157.360000000001</v>
      </c>
      <c r="J8" s="9">
        <f t="shared" si="1"/>
        <v>13.150199952809048</v>
      </c>
      <c r="K8" s="44">
        <f>J8/$F$19</f>
        <v>0.33027975043874486</v>
      </c>
      <c r="L8" s="11"/>
      <c r="M8" s="114"/>
    </row>
    <row r="9" spans="1:13" ht="15.75" x14ac:dyDescent="0.25">
      <c r="A9" s="56" t="s">
        <v>17</v>
      </c>
      <c r="B9" s="22" t="s">
        <v>18</v>
      </c>
      <c r="C9" t="s">
        <v>14</v>
      </c>
      <c r="D9" s="22" t="s">
        <v>15</v>
      </c>
      <c r="E9" s="15">
        <v>68509.832087015631</v>
      </c>
      <c r="F9" s="144">
        <v>4997.4276</v>
      </c>
      <c r="G9" s="12">
        <f t="shared" si="0"/>
        <v>63512.404487015629</v>
      </c>
      <c r="H9" s="12">
        <v>1851</v>
      </c>
      <c r="I9" s="16">
        <v>689</v>
      </c>
      <c r="J9" s="9">
        <f t="shared" si="1"/>
        <v>34.312482164784242</v>
      </c>
      <c r="K9" s="44">
        <f>J9/$F$20</f>
        <v>0.86740102102786798</v>
      </c>
      <c r="L9" s="11">
        <f t="shared" si="2"/>
        <v>2.6865021770682147</v>
      </c>
      <c r="M9" s="114"/>
    </row>
    <row r="10" spans="1:13" ht="30" x14ac:dyDescent="0.25">
      <c r="A10" s="56" t="s">
        <v>40</v>
      </c>
      <c r="B10" t="s">
        <v>33</v>
      </c>
      <c r="C10" t="s">
        <v>14</v>
      </c>
      <c r="D10" t="s">
        <v>15</v>
      </c>
      <c r="E10" s="15">
        <v>28257.449771689495</v>
      </c>
      <c r="F10" s="15">
        <v>0</v>
      </c>
      <c r="G10" s="12">
        <f t="shared" si="0"/>
        <v>28257.449771689495</v>
      </c>
      <c r="H10" s="15">
        <v>403</v>
      </c>
      <c r="I10" s="16">
        <v>229</v>
      </c>
      <c r="J10" s="9">
        <f t="shared" si="1"/>
        <v>70.117741368956558</v>
      </c>
      <c r="K10" s="44">
        <f>J10/$F$20</f>
        <v>1.7725386395398171</v>
      </c>
      <c r="L10" s="11">
        <f t="shared" si="2"/>
        <v>1.759825327510917</v>
      </c>
      <c r="M10" s="114" t="s">
        <v>127</v>
      </c>
    </row>
    <row r="11" spans="1:13" ht="15.75" x14ac:dyDescent="0.25">
      <c r="A11" s="56" t="s">
        <v>56</v>
      </c>
      <c r="B11" s="181" t="s">
        <v>53</v>
      </c>
      <c r="C11" t="s">
        <v>14</v>
      </c>
      <c r="D11" t="s">
        <v>15</v>
      </c>
      <c r="E11" s="15">
        <v>185939.92681596254</v>
      </c>
      <c r="F11" s="15">
        <v>27726.49</v>
      </c>
      <c r="G11" s="12">
        <f t="shared" si="0"/>
        <v>158213.43681596254</v>
      </c>
      <c r="H11" s="15">
        <v>11108</v>
      </c>
      <c r="I11" s="16">
        <v>4431.4799999999996</v>
      </c>
      <c r="J11" s="9">
        <f t="shared" ref="J11" si="3">G11/H11</f>
        <v>14.243197408711069</v>
      </c>
      <c r="K11" s="44">
        <f>J11/$F$20</f>
        <v>0.36006033943231491</v>
      </c>
      <c r="L11" s="11">
        <f>H11/I11</f>
        <v>2.5066117865814586</v>
      </c>
      <c r="M11" s="114"/>
    </row>
    <row r="12" spans="1:13" x14ac:dyDescent="0.25">
      <c r="A12" s="56" t="s">
        <v>17</v>
      </c>
      <c r="B12" t="s">
        <v>18</v>
      </c>
      <c r="C12" t="s">
        <v>14</v>
      </c>
      <c r="D12" t="s">
        <v>16</v>
      </c>
      <c r="E12" s="15">
        <v>62842.110129163833</v>
      </c>
      <c r="F12" s="15">
        <v>4164.5230000000001</v>
      </c>
      <c r="G12" s="8">
        <f t="shared" si="0"/>
        <v>58677.587129163832</v>
      </c>
      <c r="H12" s="15">
        <v>1599</v>
      </c>
      <c r="I12" s="16">
        <v>632</v>
      </c>
      <c r="J12" s="9">
        <f t="shared" si="1"/>
        <v>36.696427222741612</v>
      </c>
      <c r="K12" s="44">
        <f>J12/$F$21</f>
        <v>0.66133418081230078</v>
      </c>
      <c r="L12" s="11">
        <f>H12/I12</f>
        <v>2.5300632911392404</v>
      </c>
      <c r="M12" s="114"/>
    </row>
    <row r="13" spans="1:13" ht="30" x14ac:dyDescent="0.25">
      <c r="A13" s="56" t="s">
        <v>40</v>
      </c>
      <c r="B13" t="s">
        <v>33</v>
      </c>
      <c r="C13" t="s">
        <v>14</v>
      </c>
      <c r="D13" t="s">
        <v>16</v>
      </c>
      <c r="E13" s="15">
        <v>22581.280821917808</v>
      </c>
      <c r="F13" s="15">
        <v>0</v>
      </c>
      <c r="G13" s="12">
        <f t="shared" si="0"/>
        <v>22581.280821917808</v>
      </c>
      <c r="H13" s="12">
        <v>304</v>
      </c>
      <c r="I13" s="16">
        <v>183</v>
      </c>
      <c r="J13" s="9">
        <f t="shared" si="1"/>
        <v>74.280529019466471</v>
      </c>
      <c r="K13" s="44">
        <f>J13/$F$21</f>
        <v>1.3386658191876994</v>
      </c>
      <c r="L13" s="11">
        <f t="shared" si="2"/>
        <v>1.6612021857923498</v>
      </c>
      <c r="M13" s="114" t="s">
        <v>127</v>
      </c>
    </row>
    <row r="14" spans="1:13" x14ac:dyDescent="0.25">
      <c r="A14" s="56" t="s">
        <v>11</v>
      </c>
      <c r="B14" t="s">
        <v>80</v>
      </c>
      <c r="C14" t="s">
        <v>14</v>
      </c>
      <c r="D14" t="s">
        <v>25</v>
      </c>
      <c r="E14" s="117">
        <v>2649965</v>
      </c>
      <c r="F14" s="15">
        <v>76641</v>
      </c>
      <c r="G14" s="12">
        <f t="shared" si="0"/>
        <v>2573324</v>
      </c>
      <c r="H14" s="12">
        <v>87842</v>
      </c>
      <c r="I14" s="16">
        <v>36258</v>
      </c>
      <c r="J14" s="9">
        <f t="shared" si="1"/>
        <v>29.294915871678697</v>
      </c>
      <c r="K14" s="44">
        <f>J14/$F$19</f>
        <v>0.73576961095220872</v>
      </c>
      <c r="L14" s="11">
        <f t="shared" si="2"/>
        <v>2.422692922941144</v>
      </c>
      <c r="M14" s="114"/>
    </row>
    <row r="15" spans="1:13" ht="15.75" thickBot="1" x14ac:dyDescent="0.3">
      <c r="A15" s="60" t="s">
        <v>12</v>
      </c>
      <c r="B15" s="50" t="s">
        <v>8</v>
      </c>
      <c r="C15" s="50" t="s">
        <v>14</v>
      </c>
      <c r="D15" s="50" t="s">
        <v>124</v>
      </c>
      <c r="E15" s="118">
        <v>1385737</v>
      </c>
      <c r="F15" s="118">
        <v>75921.09</v>
      </c>
      <c r="G15" s="65">
        <f t="shared" si="0"/>
        <v>1309815.9099999999</v>
      </c>
      <c r="H15" s="118">
        <v>35322</v>
      </c>
      <c r="I15" s="123">
        <v>15061</v>
      </c>
      <c r="J15" s="51">
        <f t="shared" si="1"/>
        <v>37.082155880187983</v>
      </c>
      <c r="K15" s="52">
        <f>J15/$F$19</f>
        <v>0.93135353331436654</v>
      </c>
      <c r="L15" s="53">
        <f t="shared" si="2"/>
        <v>2.3452625987650224</v>
      </c>
      <c r="M15" s="116"/>
    </row>
    <row r="17" spans="4:14" ht="15.75" thickBot="1" x14ac:dyDescent="0.3"/>
    <row r="18" spans="4:14" ht="48" x14ac:dyDescent="0.25">
      <c r="D18" s="168" t="s">
        <v>123</v>
      </c>
      <c r="E18" s="55" t="s">
        <v>90</v>
      </c>
      <c r="F18" s="69" t="s">
        <v>91</v>
      </c>
      <c r="G18" s="69" t="s">
        <v>92</v>
      </c>
      <c r="H18" s="69" t="s">
        <v>93</v>
      </c>
      <c r="I18" s="70" t="s">
        <v>94</v>
      </c>
      <c r="J18" s="175" t="s">
        <v>122</v>
      </c>
    </row>
    <row r="19" spans="4:14" x14ac:dyDescent="0.25">
      <c r="D19" s="164">
        <f>COUNTIF($D$5:$D$15,"Weekday")+COUNTIF(D5:D15,"All Days")+COUNTIF(D5:D15,"Weekday/Saturday")</f>
        <v>6</v>
      </c>
      <c r="E19" s="90" t="s">
        <v>7</v>
      </c>
      <c r="F19" s="91">
        <f>(SUMIF(D5:D15,"Weekday",J5:J15)+SUMIF(D5:D15,"All Days",J5:J15)+SUMIF(D5:D15,"Weekday/Saturday",J5:J15))/D19</f>
        <v>39.815338165116913</v>
      </c>
      <c r="G19" s="92">
        <f>F19*1.2</f>
        <v>47.778405798140291</v>
      </c>
      <c r="H19" s="93">
        <f>F19*1.35</f>
        <v>53.750706522907834</v>
      </c>
      <c r="I19" s="94">
        <f>F19*1.6</f>
        <v>63.704541064187062</v>
      </c>
      <c r="J19" s="176">
        <f>+SUMIF($D$5:$D$15,"Weekday",$G$5:$G$15)/SUMIF($D$5:$D$15,"Weekday",$H$5:$H$15)</f>
        <v>40.345421146234244</v>
      </c>
      <c r="K19" t="s">
        <v>125</v>
      </c>
      <c r="M19"/>
      <c r="N19" s="31"/>
    </row>
    <row r="20" spans="4:14" x14ac:dyDescent="0.25">
      <c r="D20" s="164">
        <f>COUNTIF($D$5:$D$15, "Saturday")</f>
        <v>3</v>
      </c>
      <c r="E20" s="90" t="s">
        <v>15</v>
      </c>
      <c r="F20" s="91">
        <f>AVERAGEIF($D$5:$D$15,"Saturday",J5:J15)</f>
        <v>39.55780698081729</v>
      </c>
      <c r="G20" s="92">
        <f>F20*1.2</f>
        <v>47.469368376980746</v>
      </c>
      <c r="H20" s="93">
        <f>F20*1.35</f>
        <v>53.403039424103348</v>
      </c>
      <c r="I20" s="94">
        <f>F20*1.6</f>
        <v>63.292491169307667</v>
      </c>
      <c r="J20" s="176">
        <f>+SUMIF($D$5:$D$15,"Saturday",$G$5:$G$15)/SUMIF($D$5:$D$15,"Saturday",$H$5:$H$15)</f>
        <v>18.708523505064186</v>
      </c>
    </row>
    <row r="21" spans="4:14" ht="15.75" thickBot="1" x14ac:dyDescent="0.3">
      <c r="D21" s="165">
        <f>COUNTIF($D$5:$D$15, "Sunday")</f>
        <v>2</v>
      </c>
      <c r="E21" s="90" t="s">
        <v>16</v>
      </c>
      <c r="F21" s="182">
        <f>AVERAGEIF($D$5:$D$15,"Sunday",J5:J15)</f>
        <v>55.488478121104038</v>
      </c>
      <c r="G21" s="92">
        <f>F21*1.2</f>
        <v>66.586173745324842</v>
      </c>
      <c r="H21" s="93">
        <f>F21*1.35</f>
        <v>74.909445463490457</v>
      </c>
      <c r="I21" s="94">
        <f>F21*1.6</f>
        <v>88.781564993766466</v>
      </c>
      <c r="J21" s="176">
        <f>+SUMIF($D$5:$D$15,"Sunday",$G$5:$G$15)/SUMIF($D$5:$D$15,"Sunday",$H$5:$H$15)</f>
        <v>42.700403547599393</v>
      </c>
    </row>
    <row r="22" spans="4:14" ht="15.75" thickBot="1" x14ac:dyDescent="0.3">
      <c r="E22" s="160" t="s">
        <v>119</v>
      </c>
      <c r="F22" s="180">
        <v>2</v>
      </c>
      <c r="G22" s="158"/>
      <c r="H22" s="158"/>
      <c r="I22" s="159"/>
      <c r="J22" s="177">
        <f>+SUM($G$5:$G$15)/SUM($H$5:$H$15)</f>
        <v>36.877862324930121</v>
      </c>
    </row>
  </sheetData>
  <sortState xmlns:xlrd2="http://schemas.microsoft.com/office/spreadsheetml/2017/richdata2" ref="A5:M15">
    <sortCondition ref="D5:D15" customList="Weekday,Wk,Saturday,Sat,Sunday,Sun,Sunday/Holiday,Sunday / Holiday,Reduced"/>
    <sortCondition ref="B5:B15"/>
  </sortState>
  <mergeCells count="1">
    <mergeCell ref="A2:M2"/>
  </mergeCells>
  <conditionalFormatting sqref="A5:F6 A9:F10 E11:F11 A13:F14">
    <cfRule type="expression" dxfId="11" priority="4">
      <formula>(ROW(A5)-1)/3=ROUND((ROW(A5)-1)/3,0)</formula>
    </cfRule>
  </conditionalFormatting>
  <conditionalFormatting sqref="H9:H11 H13:H14">
    <cfRule type="expression" dxfId="10" priority="10">
      <formula>(ROW(H9)-1)/3=ROUND((ROW(H9)-1)/3,0)</formula>
    </cfRule>
  </conditionalFormatting>
  <conditionalFormatting sqref="K1">
    <cfRule type="cellIs" dxfId="9" priority="13" operator="greaterThan">
      <formula>1.6</formula>
    </cfRule>
  </conditionalFormatting>
  <conditionalFormatting sqref="L5:L15">
    <cfRule type="cellIs" dxfId="8" priority="21" operator="lessThan">
      <formula>$F$22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Table 1 Commuter &amp; Express Bus</vt:lpstr>
      <vt:lpstr>Table 2 Core Local Bus</vt:lpstr>
      <vt:lpstr>Table 3 Supporting Local Bus</vt:lpstr>
      <vt:lpstr>Table 4 Suburban Local Bus</vt:lpstr>
      <vt:lpstr>Table 5 ABRT</vt:lpstr>
      <vt:lpstr>Table 6 Hwy BRT</vt:lpstr>
      <vt:lpstr>Table 7 LRT</vt:lpstr>
      <vt:lpstr>Table 8 Commuter Rail</vt:lpstr>
      <vt:lpstr>Table 9 General Public DAR</vt:lpstr>
      <vt:lpstr>Table 10 ADA DAR</vt:lpstr>
      <vt:lpstr>Table 11 Vanpool</vt:lpstr>
      <vt:lpstr>All Routes</vt:lpstr>
      <vt:lpstr>'All Routes'!_FilterDatabase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John</dc:creator>
  <cp:lastModifiedBy>Bobbitt, Bradley</cp:lastModifiedBy>
  <dcterms:created xsi:type="dcterms:W3CDTF">2023-11-09T14:29:36Z</dcterms:created>
  <dcterms:modified xsi:type="dcterms:W3CDTF">2024-05-28T21:21:04Z</dcterms:modified>
</cp:coreProperties>
</file>